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updateLinks="never" codeName="EstaPasta_de_trabalho" defaultThemeVersion="124226"/>
  <bookViews>
    <workbookView xWindow="0" yWindow="255" windowWidth="11685" windowHeight="5940" tabRatio="936" activeTab="5"/>
  </bookViews>
  <sheets>
    <sheet name="TabelaMatriz" sheetId="14" r:id="rId1"/>
    <sheet name="RCPJ" sheetId="31" r:id="rId2"/>
    <sheet name="R G I" sheetId="27" r:id="rId3"/>
    <sheet name="Notas" sheetId="28" r:id="rId4"/>
    <sheet name="Notas-AtoAdicional" sheetId="51" r:id="rId5"/>
    <sheet name="PROTESTO" sheetId="7" r:id="rId6"/>
    <sheet name="RTD" sheetId="36" r:id="rId7"/>
  </sheets>
  <definedNames>
    <definedName name="_xlnm.Print_Area" localSheetId="1">RCPJ!$A$1:$T$34</definedName>
  </definedNames>
  <calcPr calcId="124519"/>
</workbook>
</file>

<file path=xl/calcChain.xml><?xml version="1.0" encoding="utf-8"?>
<calcChain xmlns="http://schemas.openxmlformats.org/spreadsheetml/2006/main">
  <c r="X10" i="27"/>
  <c r="X11"/>
  <c r="X12"/>
  <c r="X13"/>
  <c r="X14"/>
  <c r="X15"/>
  <c r="X16"/>
  <c r="X17"/>
  <c r="X18"/>
  <c r="P25"/>
  <c r="P26"/>
  <c r="P27"/>
  <c r="P28"/>
  <c r="P10"/>
  <c r="P11"/>
  <c r="P12"/>
  <c r="P13"/>
  <c r="I5" i="31"/>
  <c r="H5"/>
  <c r="G6"/>
  <c r="H139" i="14"/>
  <c r="J157" i="27"/>
  <c r="K157"/>
  <c r="N157" s="1"/>
  <c r="O157" s="1"/>
  <c r="I157"/>
  <c r="I8" i="14"/>
  <c r="O15" i="28"/>
  <c r="O60" i="36"/>
  <c r="G147" i="27"/>
  <c r="G148"/>
  <c r="G146"/>
  <c r="I155"/>
  <c r="I156"/>
  <c r="J156"/>
  <c r="I103" i="14"/>
  <c r="K63" i="28"/>
  <c r="K64"/>
  <c r="J65"/>
  <c r="K65"/>
  <c r="I63"/>
  <c r="I64"/>
  <c r="I66"/>
  <c r="J64"/>
  <c r="O64" s="1"/>
  <c r="J63"/>
  <c r="G66"/>
  <c r="K66"/>
  <c r="G67"/>
  <c r="K67"/>
  <c r="I138" i="14"/>
  <c r="F28" i="51"/>
  <c r="I104" i="14"/>
  <c r="G133" i="27"/>
  <c r="I66" i="14"/>
  <c r="U18" i="28"/>
  <c r="U19"/>
  <c r="I19"/>
  <c r="F33" i="51"/>
  <c r="I33" s="1"/>
  <c r="U6" i="28"/>
  <c r="U7"/>
  <c r="U8"/>
  <c r="U9"/>
  <c r="U10"/>
  <c r="U11"/>
  <c r="U12"/>
  <c r="U5"/>
  <c r="T53" i="51"/>
  <c r="T55" s="1"/>
  <c r="T50"/>
  <c r="T52" s="1"/>
  <c r="T47"/>
  <c r="T49" s="1"/>
  <c r="T44"/>
  <c r="T46" s="1"/>
  <c r="T41"/>
  <c r="T43" s="1"/>
  <c r="T38"/>
  <c r="T40" s="1"/>
  <c r="T35"/>
  <c r="T37" s="1"/>
  <c r="T32"/>
  <c r="T34" s="1"/>
  <c r="T25"/>
  <c r="T27" s="1"/>
  <c r="T19"/>
  <c r="T21" s="1"/>
  <c r="T16"/>
  <c r="T18" s="1"/>
  <c r="T13"/>
  <c r="T15" s="1"/>
  <c r="T10"/>
  <c r="T12" s="1"/>
  <c r="T7"/>
  <c r="T9" s="1"/>
  <c r="T4"/>
  <c r="T6" s="1"/>
  <c r="F4"/>
  <c r="J4" s="1"/>
  <c r="G4"/>
  <c r="G6"/>
  <c r="H4"/>
  <c r="H6"/>
  <c r="Q6"/>
  <c r="T22"/>
  <c r="T24" s="1"/>
  <c r="Q55"/>
  <c r="U54"/>
  <c r="F54"/>
  <c r="I54"/>
  <c r="R55"/>
  <c r="H53"/>
  <c r="H55" s="1"/>
  <c r="G53"/>
  <c r="G55" s="1"/>
  <c r="Q52"/>
  <c r="F51"/>
  <c r="H50"/>
  <c r="G50"/>
  <c r="G52" s="1"/>
  <c r="Q49"/>
  <c r="F48"/>
  <c r="J48"/>
  <c r="S49"/>
  <c r="H47"/>
  <c r="H49" s="1"/>
  <c r="G47"/>
  <c r="G49" s="1"/>
  <c r="Q46"/>
  <c r="F45"/>
  <c r="S46"/>
  <c r="R46"/>
  <c r="H44"/>
  <c r="H46"/>
  <c r="G44"/>
  <c r="Q43"/>
  <c r="F42"/>
  <c r="J42"/>
  <c r="R43"/>
  <c r="H41"/>
  <c r="H43" s="1"/>
  <c r="G41"/>
  <c r="G43" s="1"/>
  <c r="Q40"/>
  <c r="F39"/>
  <c r="I39"/>
  <c r="H38"/>
  <c r="H40" s="1"/>
  <c r="G38"/>
  <c r="G40" s="1"/>
  <c r="Q37"/>
  <c r="R37"/>
  <c r="F36"/>
  <c r="H35"/>
  <c r="H37" s="1"/>
  <c r="G35"/>
  <c r="G37" s="1"/>
  <c r="Q34"/>
  <c r="F25"/>
  <c r="F53"/>
  <c r="J53" s="1"/>
  <c r="J55" s="1"/>
  <c r="F22"/>
  <c r="F19"/>
  <c r="F47" s="1"/>
  <c r="F16"/>
  <c r="F13"/>
  <c r="F10"/>
  <c r="J10" s="1"/>
  <c r="F7"/>
  <c r="F35" s="1"/>
  <c r="F37" s="1"/>
  <c r="H32"/>
  <c r="H34"/>
  <c r="G32"/>
  <c r="G34"/>
  <c r="Q27"/>
  <c r="Q24"/>
  <c r="Q21"/>
  <c r="Q18"/>
  <c r="Q15"/>
  <c r="Q12"/>
  <c r="Q9"/>
  <c r="S27"/>
  <c r="R27"/>
  <c r="H25"/>
  <c r="G25"/>
  <c r="G27" s="1"/>
  <c r="C25"/>
  <c r="C53" s="1"/>
  <c r="H22"/>
  <c r="G22"/>
  <c r="C22"/>
  <c r="C50"/>
  <c r="R21"/>
  <c r="H19"/>
  <c r="H21" s="1"/>
  <c r="G19"/>
  <c r="G21" s="1"/>
  <c r="C19"/>
  <c r="C47" s="1"/>
  <c r="H16"/>
  <c r="H18" s="1"/>
  <c r="G16"/>
  <c r="G18" s="1"/>
  <c r="C16"/>
  <c r="C44" s="1"/>
  <c r="R15"/>
  <c r="H13"/>
  <c r="H15"/>
  <c r="G13"/>
  <c r="G15"/>
  <c r="C13"/>
  <c r="C41"/>
  <c r="H10"/>
  <c r="H12"/>
  <c r="G10"/>
  <c r="G12"/>
  <c r="C10"/>
  <c r="C38"/>
  <c r="S9"/>
  <c r="H7"/>
  <c r="H9" s="1"/>
  <c r="G7"/>
  <c r="G9" s="1"/>
  <c r="C7"/>
  <c r="C35" s="1"/>
  <c r="C4"/>
  <c r="C32" s="1"/>
  <c r="B4"/>
  <c r="B32" s="1"/>
  <c r="B1"/>
  <c r="G7" i="36"/>
  <c r="E11"/>
  <c r="G15"/>
  <c r="G16"/>
  <c r="J16" s="1"/>
  <c r="G17"/>
  <c r="G18"/>
  <c r="G19"/>
  <c r="G20"/>
  <c r="G21"/>
  <c r="G22"/>
  <c r="I22" s="1"/>
  <c r="L22" s="1"/>
  <c r="M22" s="1"/>
  <c r="G24"/>
  <c r="J24" s="1"/>
  <c r="G26"/>
  <c r="J26" s="1"/>
  <c r="G27"/>
  <c r="G29"/>
  <c r="G30"/>
  <c r="G31"/>
  <c r="I31" s="1"/>
  <c r="G32"/>
  <c r="I32" s="1"/>
  <c r="O32"/>
  <c r="G33"/>
  <c r="G35"/>
  <c r="G36"/>
  <c r="S36"/>
  <c r="G38"/>
  <c r="G39"/>
  <c r="J39" s="1"/>
  <c r="G40"/>
  <c r="I40" s="1"/>
  <c r="L40" s="1"/>
  <c r="G41"/>
  <c r="I41"/>
  <c r="G43"/>
  <c r="J43"/>
  <c r="G44"/>
  <c r="J44"/>
  <c r="G45"/>
  <c r="G46"/>
  <c r="G47"/>
  <c r="G48"/>
  <c r="I48"/>
  <c r="G49"/>
  <c r="I49"/>
  <c r="G50"/>
  <c r="G51"/>
  <c r="J51" s="1"/>
  <c r="G52"/>
  <c r="G53"/>
  <c r="I53" s="1"/>
  <c r="G54"/>
  <c r="G55"/>
  <c r="J55"/>
  <c r="G56"/>
  <c r="I56"/>
  <c r="G57"/>
  <c r="I57"/>
  <c r="G58"/>
  <c r="I58"/>
  <c r="G59"/>
  <c r="J59"/>
  <c r="G61"/>
  <c r="J61"/>
  <c r="G62"/>
  <c r="I62"/>
  <c r="C11"/>
  <c r="C10"/>
  <c r="G10" s="1"/>
  <c r="H10"/>
  <c r="H11"/>
  <c r="H71" i="28"/>
  <c r="J71"/>
  <c r="H46" i="36"/>
  <c r="H43"/>
  <c r="I43" s="1"/>
  <c r="C309" i="14"/>
  <c r="H309"/>
  <c r="I22" i="31"/>
  <c r="I19"/>
  <c r="I13"/>
  <c r="I14"/>
  <c r="I15"/>
  <c r="I16"/>
  <c r="I17"/>
  <c r="I12"/>
  <c r="H23"/>
  <c r="H22"/>
  <c r="H21"/>
  <c r="H20"/>
  <c r="J20" s="1"/>
  <c r="H19"/>
  <c r="H18"/>
  <c r="H13"/>
  <c r="H14"/>
  <c r="J14" s="1"/>
  <c r="H15"/>
  <c r="H16"/>
  <c r="H17"/>
  <c r="H12"/>
  <c r="J12" s="1"/>
  <c r="H6"/>
  <c r="H7"/>
  <c r="H8"/>
  <c r="H9"/>
  <c r="H10"/>
  <c r="E167" i="27"/>
  <c r="B110"/>
  <c r="B77"/>
  <c r="B49"/>
  <c r="B65" s="1"/>
  <c r="B35"/>
  <c r="B21"/>
  <c r="I83" i="14"/>
  <c r="I67"/>
  <c r="B94" i="27"/>
  <c r="I18" i="28"/>
  <c r="K19"/>
  <c r="H55" i="27"/>
  <c r="I55"/>
  <c r="H61" i="36"/>
  <c r="G21" i="28"/>
  <c r="K21" s="1"/>
  <c r="C236" i="14"/>
  <c r="C237"/>
  <c r="C238"/>
  <c r="C239"/>
  <c r="I142"/>
  <c r="G18" i="28"/>
  <c r="K18"/>
  <c r="B1" i="31"/>
  <c r="G109" i="27"/>
  <c r="K155"/>
  <c r="G144"/>
  <c r="L144"/>
  <c r="G143"/>
  <c r="G142"/>
  <c r="K142"/>
  <c r="G141"/>
  <c r="G140"/>
  <c r="G139"/>
  <c r="G138"/>
  <c r="L138"/>
  <c r="G137"/>
  <c r="K137"/>
  <c r="G136"/>
  <c r="G132"/>
  <c r="K132"/>
  <c r="G131"/>
  <c r="K131"/>
  <c r="G130"/>
  <c r="G128"/>
  <c r="K128"/>
  <c r="G127"/>
  <c r="G125"/>
  <c r="K124"/>
  <c r="G123"/>
  <c r="G122"/>
  <c r="G121"/>
  <c r="G119"/>
  <c r="K117"/>
  <c r="G117"/>
  <c r="I116"/>
  <c r="G116"/>
  <c r="G114"/>
  <c r="K114" s="1"/>
  <c r="I107"/>
  <c r="H107"/>
  <c r="I106"/>
  <c r="H106"/>
  <c r="I105"/>
  <c r="H105"/>
  <c r="I104"/>
  <c r="H104"/>
  <c r="L103"/>
  <c r="I103"/>
  <c r="H103"/>
  <c r="I102"/>
  <c r="H102"/>
  <c r="I101"/>
  <c r="H101"/>
  <c r="I100"/>
  <c r="H100"/>
  <c r="G93"/>
  <c r="L93"/>
  <c r="H90"/>
  <c r="G90"/>
  <c r="K90" s="1"/>
  <c r="M90" s="1"/>
  <c r="H89"/>
  <c r="G89"/>
  <c r="L88"/>
  <c r="H88"/>
  <c r="G88"/>
  <c r="H87"/>
  <c r="G87"/>
  <c r="L86"/>
  <c r="H86"/>
  <c r="G86"/>
  <c r="H85"/>
  <c r="G85"/>
  <c r="H84"/>
  <c r="G84"/>
  <c r="H83"/>
  <c r="G83"/>
  <c r="G100"/>
  <c r="G76"/>
  <c r="L76"/>
  <c r="H74"/>
  <c r="G74"/>
  <c r="H73"/>
  <c r="G73"/>
  <c r="L72"/>
  <c r="H72"/>
  <c r="G72"/>
  <c r="H71"/>
  <c r="G71"/>
  <c r="K71" s="1"/>
  <c r="I62"/>
  <c r="H62"/>
  <c r="I61"/>
  <c r="H61"/>
  <c r="I60"/>
  <c r="H60"/>
  <c r="I59"/>
  <c r="H59"/>
  <c r="I58"/>
  <c r="H58"/>
  <c r="I57"/>
  <c r="H57"/>
  <c r="I56"/>
  <c r="H56"/>
  <c r="I46"/>
  <c r="H46"/>
  <c r="I45"/>
  <c r="H45"/>
  <c r="I44"/>
  <c r="H44"/>
  <c r="I43"/>
  <c r="H43"/>
  <c r="I42"/>
  <c r="H42"/>
  <c r="I41"/>
  <c r="H41"/>
  <c r="I40"/>
  <c r="H40"/>
  <c r="I39"/>
  <c r="H39"/>
  <c r="J32"/>
  <c r="I32"/>
  <c r="H32"/>
  <c r="J31"/>
  <c r="I31"/>
  <c r="H31"/>
  <c r="J30"/>
  <c r="I30"/>
  <c r="H30"/>
  <c r="J29"/>
  <c r="I29"/>
  <c r="H29"/>
  <c r="J28"/>
  <c r="I28"/>
  <c r="H28"/>
  <c r="J27"/>
  <c r="I27"/>
  <c r="H27"/>
  <c r="K27" s="1"/>
  <c r="J26"/>
  <c r="I26"/>
  <c r="H26"/>
  <c r="J25"/>
  <c r="I25"/>
  <c r="H25"/>
  <c r="G20"/>
  <c r="G48"/>
  <c r="J17"/>
  <c r="G17"/>
  <c r="J16"/>
  <c r="G16"/>
  <c r="J15"/>
  <c r="G15"/>
  <c r="G30" s="1"/>
  <c r="J14"/>
  <c r="G14"/>
  <c r="G43"/>
  <c r="J13"/>
  <c r="G13"/>
  <c r="F13"/>
  <c r="F28"/>
  <c r="J12"/>
  <c r="G12"/>
  <c r="F12"/>
  <c r="F41" s="1"/>
  <c r="J11"/>
  <c r="G11"/>
  <c r="F11"/>
  <c r="J10"/>
  <c r="G10"/>
  <c r="F10"/>
  <c r="J7"/>
  <c r="G7"/>
  <c r="B1"/>
  <c r="F32"/>
  <c r="F62" s="1"/>
  <c r="B32"/>
  <c r="F31"/>
  <c r="B31"/>
  <c r="B61" s="1"/>
  <c r="F30"/>
  <c r="B30"/>
  <c r="B60"/>
  <c r="F29"/>
  <c r="F59" s="1"/>
  <c r="O46"/>
  <c r="F46"/>
  <c r="B46"/>
  <c r="O45"/>
  <c r="F45"/>
  <c r="B45"/>
  <c r="O44"/>
  <c r="F44"/>
  <c r="B44"/>
  <c r="O43"/>
  <c r="F43"/>
  <c r="O42"/>
  <c r="O41"/>
  <c r="O40"/>
  <c r="O39"/>
  <c r="B5" i="28"/>
  <c r="B54" s="1"/>
  <c r="B130" i="14"/>
  <c r="B7" i="51"/>
  <c r="B35"/>
  <c r="B131" i="14"/>
  <c r="B7" i="28"/>
  <c r="B56" s="1"/>
  <c r="B132" i="14"/>
  <c r="B13" i="51"/>
  <c r="B41"/>
  <c r="B8" i="28"/>
  <c r="B57" s="1"/>
  <c r="B133" i="14"/>
  <c r="B16" i="51"/>
  <c r="B44"/>
  <c r="B134" i="14"/>
  <c r="B19" i="51"/>
  <c r="B47"/>
  <c r="B10" i="28"/>
  <c r="B59" s="1"/>
  <c r="B135" i="14"/>
  <c r="B11" i="28"/>
  <c r="B136" i="14"/>
  <c r="B12" i="28"/>
  <c r="B48" i="14"/>
  <c r="B49"/>
  <c r="B47"/>
  <c r="B10" i="27"/>
  <c r="B25" s="1"/>
  <c r="B55" s="1"/>
  <c r="B43" i="14"/>
  <c r="B11" i="27"/>
  <c r="B44" i="14"/>
  <c r="B12" i="27"/>
  <c r="B45" i="14"/>
  <c r="B13" i="27"/>
  <c r="B42"/>
  <c r="B46" i="14"/>
  <c r="B14" i="27"/>
  <c r="B6" i="28"/>
  <c r="H15" i="36"/>
  <c r="I15" s="1"/>
  <c r="H16"/>
  <c r="H17"/>
  <c r="I17"/>
  <c r="H18"/>
  <c r="I18" s="1"/>
  <c r="H19"/>
  <c r="H24"/>
  <c r="I24"/>
  <c r="H30"/>
  <c r="I30" s="1"/>
  <c r="H31"/>
  <c r="H38"/>
  <c r="I38"/>
  <c r="H39"/>
  <c r="I39" s="1"/>
  <c r="H40"/>
  <c r="I59" i="28"/>
  <c r="I60"/>
  <c r="I61"/>
  <c r="I54"/>
  <c r="I55"/>
  <c r="I56"/>
  <c r="I57"/>
  <c r="I58"/>
  <c r="E10"/>
  <c r="G10"/>
  <c r="I10"/>
  <c r="E11"/>
  <c r="G11"/>
  <c r="I11"/>
  <c r="E12"/>
  <c r="G12"/>
  <c r="I12"/>
  <c r="E6"/>
  <c r="G6"/>
  <c r="K6"/>
  <c r="J6"/>
  <c r="I6"/>
  <c r="E7"/>
  <c r="E56" s="1"/>
  <c r="G7"/>
  <c r="I7"/>
  <c r="E8"/>
  <c r="G8"/>
  <c r="J8"/>
  <c r="I8"/>
  <c r="E9"/>
  <c r="E58" s="1"/>
  <c r="G9"/>
  <c r="J9" s="1"/>
  <c r="I9"/>
  <c r="E5"/>
  <c r="G5"/>
  <c r="G54"/>
  <c r="I5"/>
  <c r="A1" i="36"/>
  <c r="H41" i="28"/>
  <c r="J41" s="1"/>
  <c r="F42" i="7"/>
  <c r="C307" i="14"/>
  <c r="C311"/>
  <c r="D311"/>
  <c r="J70" i="28"/>
  <c r="I35"/>
  <c r="I33"/>
  <c r="I32"/>
  <c r="I28"/>
  <c r="I27"/>
  <c r="I24"/>
  <c r="F53" i="7"/>
  <c r="O53"/>
  <c r="G35" i="28"/>
  <c r="F54" i="7"/>
  <c r="F52"/>
  <c r="F51"/>
  <c r="F50"/>
  <c r="F49"/>
  <c r="F48"/>
  <c r="I48" s="1"/>
  <c r="O48" s="1"/>
  <c r="F47"/>
  <c r="F46"/>
  <c r="F45"/>
  <c r="F43"/>
  <c r="F41"/>
  <c r="F40"/>
  <c r="O12"/>
  <c r="M15"/>
  <c r="O24"/>
  <c r="F6"/>
  <c r="F7"/>
  <c r="F8"/>
  <c r="F9"/>
  <c r="F10"/>
  <c r="G10" s="1"/>
  <c r="F11"/>
  <c r="F12"/>
  <c r="G12"/>
  <c r="F13"/>
  <c r="F14"/>
  <c r="F15"/>
  <c r="J15"/>
  <c r="F16"/>
  <c r="K16" s="1"/>
  <c r="F17"/>
  <c r="F18"/>
  <c r="F19"/>
  <c r="F20"/>
  <c r="G20"/>
  <c r="F21"/>
  <c r="F22"/>
  <c r="H22"/>
  <c r="F23"/>
  <c r="G23"/>
  <c r="F24"/>
  <c r="F25"/>
  <c r="F26"/>
  <c r="F27"/>
  <c r="F28"/>
  <c r="H28"/>
  <c r="F29"/>
  <c r="F30"/>
  <c r="F5"/>
  <c r="G5" s="1"/>
  <c r="G20" i="28"/>
  <c r="K20"/>
  <c r="G24"/>
  <c r="J24" s="1"/>
  <c r="L24" s="1"/>
  <c r="G23"/>
  <c r="K23"/>
  <c r="G32"/>
  <c r="K32" s="1"/>
  <c r="G33"/>
  <c r="G45"/>
  <c r="G46"/>
  <c r="J46" s="1"/>
  <c r="G47"/>
  <c r="K47"/>
  <c r="G48"/>
  <c r="K48" s="1"/>
  <c r="G49"/>
  <c r="K49"/>
  <c r="G50"/>
  <c r="I50"/>
  <c r="I49"/>
  <c r="I48"/>
  <c r="I47"/>
  <c r="I46"/>
  <c r="I45"/>
  <c r="J45"/>
  <c r="H32"/>
  <c r="J32" s="1"/>
  <c r="G27"/>
  <c r="K27" s="1"/>
  <c r="G28"/>
  <c r="K28"/>
  <c r="J28"/>
  <c r="G20" i="31"/>
  <c r="I20"/>
  <c r="I21"/>
  <c r="J21" s="1"/>
  <c r="G21"/>
  <c r="I18"/>
  <c r="G19"/>
  <c r="K19"/>
  <c r="G18"/>
  <c r="I10"/>
  <c r="I9"/>
  <c r="I8"/>
  <c r="I7"/>
  <c r="J7" s="1"/>
  <c r="I6"/>
  <c r="J6" s="1"/>
  <c r="G17"/>
  <c r="K17"/>
  <c r="G16"/>
  <c r="K16"/>
  <c r="G15"/>
  <c r="K15"/>
  <c r="G14"/>
  <c r="K14"/>
  <c r="G13"/>
  <c r="G12"/>
  <c r="K12"/>
  <c r="G10"/>
  <c r="G9"/>
  <c r="K9"/>
  <c r="G8"/>
  <c r="G7"/>
  <c r="G5"/>
  <c r="K5"/>
  <c r="I20" i="28"/>
  <c r="G29"/>
  <c r="J29"/>
  <c r="G36"/>
  <c r="J36"/>
  <c r="G39"/>
  <c r="K39" s="1"/>
  <c r="G40"/>
  <c r="J40" s="1"/>
  <c r="G41"/>
  <c r="G42"/>
  <c r="J42" s="1"/>
  <c r="G51"/>
  <c r="J51"/>
  <c r="B1"/>
  <c r="G23" i="31"/>
  <c r="K23"/>
  <c r="G24"/>
  <c r="J24" s="1"/>
  <c r="M24" s="1"/>
  <c r="G25"/>
  <c r="J25" s="1"/>
  <c r="G26"/>
  <c r="J26"/>
  <c r="G27"/>
  <c r="J27" s="1"/>
  <c r="O27" s="1"/>
  <c r="G28"/>
  <c r="A1" i="7"/>
  <c r="I298" i="14"/>
  <c r="I296"/>
  <c r="I53"/>
  <c r="I183"/>
  <c r="H311"/>
  <c r="O48" i="27"/>
  <c r="E311" i="14"/>
  <c r="L83" i="27"/>
  <c r="K40" i="7"/>
  <c r="J17" i="36"/>
  <c r="J30"/>
  <c r="E309" i="14"/>
  <c r="F309"/>
  <c r="F307"/>
  <c r="G307"/>
  <c r="F311"/>
  <c r="G311"/>
  <c r="D309"/>
  <c r="K36" i="28"/>
  <c r="K54" i="7"/>
  <c r="B62" i="27"/>
  <c r="K93"/>
  <c r="N93"/>
  <c r="O93"/>
  <c r="J18" i="36"/>
  <c r="F50" i="51"/>
  <c r="J54"/>
  <c r="I42"/>
  <c r="L42" s="1"/>
  <c r="M42" s="1"/>
  <c r="J33"/>
  <c r="K17" i="7"/>
  <c r="J28"/>
  <c r="G19"/>
  <c r="J23" i="28"/>
  <c r="L124" i="27"/>
  <c r="R49" i="51"/>
  <c r="S55"/>
  <c r="I59" i="36"/>
  <c r="J49"/>
  <c r="J38"/>
  <c r="I35"/>
  <c r="S35"/>
  <c r="J35" i="51"/>
  <c r="F41"/>
  <c r="F14"/>
  <c r="J14"/>
  <c r="J13"/>
  <c r="J15" s="1"/>
  <c r="I54" i="7"/>
  <c r="G56" i="27"/>
  <c r="G104"/>
  <c r="E10" i="36"/>
  <c r="J25" i="51"/>
  <c r="I7"/>
  <c r="L7" s="1"/>
  <c r="M7" s="1"/>
  <c r="I48"/>
  <c r="K48"/>
  <c r="K7" i="31"/>
  <c r="I27" i="7"/>
  <c r="H25"/>
  <c r="H20"/>
  <c r="K12"/>
  <c r="L137" i="27"/>
  <c r="B26"/>
  <c r="B56" s="1"/>
  <c r="J56" i="36"/>
  <c r="J52"/>
  <c r="I52"/>
  <c r="I4" i="51"/>
  <c r="F11"/>
  <c r="I11" s="1"/>
  <c r="F5"/>
  <c r="I5" s="1"/>
  <c r="N24" i="36"/>
  <c r="L48" i="51"/>
  <c r="M48"/>
  <c r="U48" s="1"/>
  <c r="K30" i="36"/>
  <c r="K7" i="51"/>
  <c r="I61" i="36"/>
  <c r="N61"/>
  <c r="R24" i="51"/>
  <c r="S43"/>
  <c r="S52"/>
  <c r="E59" i="28"/>
  <c r="G27" i="27"/>
  <c r="L27"/>
  <c r="K12"/>
  <c r="K20"/>
  <c r="N20"/>
  <c r="O20" s="1"/>
  <c r="L122"/>
  <c r="K122"/>
  <c r="J50" i="36"/>
  <c r="I50"/>
  <c r="K50"/>
  <c r="J31"/>
  <c r="I26"/>
  <c r="F38" i="51"/>
  <c r="F23"/>
  <c r="F24"/>
  <c r="J22"/>
  <c r="J24" s="1"/>
  <c r="K25" i="31"/>
  <c r="K6"/>
  <c r="K22" i="7"/>
  <c r="K20"/>
  <c r="I20"/>
  <c r="I14"/>
  <c r="I12"/>
  <c r="H12"/>
  <c r="J8"/>
  <c r="I6"/>
  <c r="H6"/>
  <c r="K5" i="28"/>
  <c r="B39" i="27"/>
  <c r="F25"/>
  <c r="I21" i="36"/>
  <c r="J21"/>
  <c r="J7" i="51"/>
  <c r="F8"/>
  <c r="I8" s="1"/>
  <c r="F20"/>
  <c r="J20"/>
  <c r="I36"/>
  <c r="J36"/>
  <c r="L148" i="27"/>
  <c r="L24" i="36"/>
  <c r="M24"/>
  <c r="J62"/>
  <c r="E55" i="28"/>
  <c r="K138" i="27"/>
  <c r="I10" i="51"/>
  <c r="L10"/>
  <c r="L20" i="27"/>
  <c r="I36" i="36"/>
  <c r="O36"/>
  <c r="N36"/>
  <c r="J23" i="31"/>
  <c r="S24" i="51"/>
  <c r="S40"/>
  <c r="K20" i="31"/>
  <c r="K11" i="28"/>
  <c r="G60"/>
  <c r="K60" s="1"/>
  <c r="B28" i="27"/>
  <c r="L10"/>
  <c r="F27"/>
  <c r="F57" s="1"/>
  <c r="K13"/>
  <c r="L74"/>
  <c r="I29" i="36"/>
  <c r="J29"/>
  <c r="K61"/>
  <c r="K36"/>
  <c r="K27" i="31"/>
  <c r="K51" i="28"/>
  <c r="K41" i="7"/>
  <c r="H45"/>
  <c r="H47"/>
  <c r="I49"/>
  <c r="G58" i="28"/>
  <c r="K58" s="1"/>
  <c r="B55"/>
  <c r="K76" i="27"/>
  <c r="P76"/>
  <c r="K144"/>
  <c r="I27" i="36"/>
  <c r="J27"/>
  <c r="J20"/>
  <c r="I20"/>
  <c r="J39" i="51"/>
  <c r="F31"/>
  <c r="F34" s="1"/>
  <c r="K72" i="27"/>
  <c r="G55" i="28"/>
  <c r="J39"/>
  <c r="L39" s="1"/>
  <c r="G40" i="7"/>
  <c r="H53"/>
  <c r="J15" i="36"/>
  <c r="L36"/>
  <c r="M36"/>
  <c r="L36" i="51"/>
  <c r="M36" s="1"/>
  <c r="F9"/>
  <c r="J8"/>
  <c r="J23"/>
  <c r="I23"/>
  <c r="N23"/>
  <c r="L21" i="36"/>
  <c r="M21" s="1"/>
  <c r="L50"/>
  <c r="M50" s="1"/>
  <c r="N50"/>
  <c r="I32" i="51"/>
  <c r="O34" s="1"/>
  <c r="P144" i="27"/>
  <c r="M144"/>
  <c r="N144"/>
  <c r="O144" s="1"/>
  <c r="B58"/>
  <c r="L61" i="36"/>
  <c r="M61" s="1"/>
  <c r="J58"/>
  <c r="J57"/>
  <c r="I55"/>
  <c r="J53"/>
  <c r="J48"/>
  <c r="I44"/>
  <c r="K44"/>
  <c r="S44" s="1"/>
  <c r="L29"/>
  <c r="M29"/>
  <c r="G42" i="7"/>
  <c r="J20"/>
  <c r="K29" i="28"/>
  <c r="G61"/>
  <c r="F26" i="51"/>
  <c r="F27"/>
  <c r="I19"/>
  <c r="J19"/>
  <c r="J21" s="1"/>
  <c r="L132" i="27"/>
  <c r="L128"/>
  <c r="M122"/>
  <c r="G107"/>
  <c r="L107"/>
  <c r="K89"/>
  <c r="K83"/>
  <c r="M83" s="1"/>
  <c r="G34"/>
  <c r="G14" i="28"/>
  <c r="K14" s="1"/>
  <c r="L16" i="27"/>
  <c r="G44"/>
  <c r="L14"/>
  <c r="G59"/>
  <c r="L59" s="1"/>
  <c r="L27" i="31"/>
  <c r="L23"/>
  <c r="J15"/>
  <c r="L15" s="1"/>
  <c r="G46" i="51"/>
  <c r="N7"/>
  <c r="I35"/>
  <c r="I53" i="7"/>
  <c r="I51"/>
  <c r="K49"/>
  <c r="K47"/>
  <c r="J45"/>
  <c r="J47"/>
  <c r="O15" i="31"/>
  <c r="J51" i="7"/>
  <c r="K51"/>
  <c r="K55" i="36"/>
  <c r="L55"/>
  <c r="M55" s="1"/>
  <c r="S55" s="1"/>
  <c r="N55"/>
  <c r="L44"/>
  <c r="M44" s="1"/>
  <c r="J26" i="51"/>
  <c r="J27" s="1"/>
  <c r="I26"/>
  <c r="K59" i="27"/>
  <c r="N59" s="1"/>
  <c r="O59" s="1"/>
  <c r="J67" i="28"/>
  <c r="O67" s="1"/>
  <c r="J66"/>
  <c r="N155" i="27"/>
  <c r="O155" s="1"/>
  <c r="U155"/>
  <c r="M155"/>
  <c r="P155"/>
  <c r="B61" i="28"/>
  <c r="B43" i="27"/>
  <c r="B29"/>
  <c r="B60" i="28"/>
  <c r="B10" i="51"/>
  <c r="B38" s="1"/>
  <c r="B22"/>
  <c r="B50"/>
  <c r="B25"/>
  <c r="B53" s="1"/>
  <c r="I13"/>
  <c r="B9" i="28"/>
  <c r="B58" s="1"/>
  <c r="B59" i="27"/>
  <c r="L67" i="28"/>
  <c r="N90" i="27"/>
  <c r="E60" i="28"/>
  <c r="J47"/>
  <c r="M47" s="1"/>
  <c r="N47" s="1"/>
  <c r="E61"/>
  <c r="E57"/>
  <c r="J27"/>
  <c r="L27" s="1"/>
  <c r="K42"/>
  <c r="J49"/>
  <c r="L49" s="1"/>
  <c r="J21"/>
  <c r="J50" i="51"/>
  <c r="I47" i="7"/>
  <c r="O47" s="1"/>
  <c r="J49"/>
  <c r="K53"/>
  <c r="H42"/>
  <c r="I24"/>
  <c r="G6"/>
  <c r="G25"/>
  <c r="O25" s="1"/>
  <c r="K25"/>
  <c r="H5"/>
  <c r="J29"/>
  <c r="J6"/>
  <c r="O6" s="1"/>
  <c r="J17"/>
  <c r="K28"/>
  <c r="J25"/>
  <c r="I17"/>
  <c r="O17" s="1"/>
  <c r="H11"/>
  <c r="K15"/>
  <c r="O65" i="28"/>
  <c r="K32" i="36"/>
  <c r="L32"/>
  <c r="O41"/>
  <c r="K41"/>
  <c r="L41"/>
  <c r="M41"/>
  <c r="N41"/>
  <c r="K24"/>
  <c r="G11"/>
  <c r="J11"/>
  <c r="G41" i="7"/>
  <c r="I30"/>
  <c r="K30"/>
  <c r="J30"/>
  <c r="O30" s="1"/>
  <c r="J22"/>
  <c r="L66" i="28"/>
  <c r="L39" i="51"/>
  <c r="M39"/>
  <c r="N39"/>
  <c r="K39"/>
  <c r="L21" i="28"/>
  <c r="J20"/>
  <c r="K26" i="31"/>
  <c r="J48" i="28"/>
  <c r="M48" s="1"/>
  <c r="N48"/>
  <c r="M66"/>
  <c r="N66" s="1"/>
  <c r="J54" i="7"/>
  <c r="O54" s="1"/>
  <c r="M23" i="31"/>
  <c r="N23" s="1"/>
  <c r="G28" i="7"/>
  <c r="H30"/>
  <c r="G30"/>
  <c r="K42"/>
  <c r="H27"/>
  <c r="H54"/>
  <c r="J5"/>
  <c r="M20" i="27"/>
  <c r="K11"/>
  <c r="M138"/>
  <c r="N138"/>
  <c r="O138" s="1"/>
  <c r="L131"/>
  <c r="G41"/>
  <c r="L41"/>
  <c r="G57"/>
  <c r="G28"/>
  <c r="G45"/>
  <c r="L17"/>
  <c r="G101"/>
  <c r="L101"/>
  <c r="G103"/>
  <c r="K88"/>
  <c r="N88" s="1"/>
  <c r="G105"/>
  <c r="L105"/>
  <c r="K140"/>
  <c r="N140" s="1"/>
  <c r="O140" s="1"/>
  <c r="K156"/>
  <c r="N156" s="1"/>
  <c r="O156" s="1"/>
  <c r="K148"/>
  <c r="M32" i="36"/>
  <c r="N13" i="51"/>
  <c r="L23"/>
  <c r="K23"/>
  <c r="N72" i="27"/>
  <c r="O72" s="1"/>
  <c r="M6" i="28"/>
  <c r="N6" s="1"/>
  <c r="O90" i="27"/>
  <c r="K26" i="51"/>
  <c r="K27" s="1"/>
  <c r="J14" i="28"/>
  <c r="N71" i="27"/>
  <c r="O71" s="1"/>
  <c r="K10" i="51"/>
  <c r="N10"/>
  <c r="N52" i="36"/>
  <c r="O35"/>
  <c r="K26" i="7"/>
  <c r="K24"/>
  <c r="H24"/>
  <c r="I19"/>
  <c r="K19"/>
  <c r="J19"/>
  <c r="O19"/>
  <c r="H19"/>
  <c r="G17"/>
  <c r="H15"/>
  <c r="G15"/>
  <c r="G11"/>
  <c r="O11" s="1"/>
  <c r="I11"/>
  <c r="I9"/>
  <c r="J9"/>
  <c r="I7"/>
  <c r="H40"/>
  <c r="J40"/>
  <c r="O40" s="1"/>
  <c r="J43"/>
  <c r="K43"/>
  <c r="K46"/>
  <c r="H50"/>
  <c r="K9" i="28"/>
  <c r="G57"/>
  <c r="J57" s="1"/>
  <c r="O8"/>
  <c r="K8"/>
  <c r="G22" i="7"/>
  <c r="J11"/>
  <c r="I15"/>
  <c r="K11"/>
  <c r="H43"/>
  <c r="H17"/>
  <c r="G24"/>
  <c r="I22"/>
  <c r="F15" i="51"/>
  <c r="I40" i="7"/>
  <c r="G9"/>
  <c r="J24"/>
  <c r="U76" i="27"/>
  <c r="N76"/>
  <c r="O76" s="1"/>
  <c r="N29" i="36"/>
  <c r="K29"/>
  <c r="S29"/>
  <c r="F55" i="27"/>
  <c r="N35" i="36"/>
  <c r="L35"/>
  <c r="M35" s="1"/>
  <c r="F6" i="51"/>
  <c r="L52" i="36"/>
  <c r="M52" s="1"/>
  <c r="L104" i="27"/>
  <c r="O23" i="28"/>
  <c r="I46" i="7"/>
  <c r="F52" i="51"/>
  <c r="G309" i="14"/>
  <c r="I309"/>
  <c r="I294"/>
  <c r="K9" i="7"/>
  <c r="I43"/>
  <c r="O43" s="1"/>
  <c r="J28" i="31"/>
  <c r="M28" s="1"/>
  <c r="N28" s="1"/>
  <c r="K28"/>
  <c r="N24"/>
  <c r="K24"/>
  <c r="T24" s="1"/>
  <c r="K41" i="28"/>
  <c r="K8" i="31"/>
  <c r="K13"/>
  <c r="J13"/>
  <c r="O13" s="1"/>
  <c r="K18"/>
  <c r="K45" i="28"/>
  <c r="O45"/>
  <c r="G59"/>
  <c r="J59" s="1"/>
  <c r="B40" i="27"/>
  <c r="F60"/>
  <c r="F61"/>
  <c r="L7"/>
  <c r="K7"/>
  <c r="F39"/>
  <c r="L15"/>
  <c r="U15" s="1"/>
  <c r="G60"/>
  <c r="L60" s="1"/>
  <c r="G61"/>
  <c r="K61" s="1"/>
  <c r="G62"/>
  <c r="L62" s="1"/>
  <c r="L125"/>
  <c r="K125"/>
  <c r="J5" i="31"/>
  <c r="J9"/>
  <c r="I51" i="36"/>
  <c r="K51"/>
  <c r="I47"/>
  <c r="J47"/>
  <c r="J45"/>
  <c r="I45"/>
  <c r="J40"/>
  <c r="M40"/>
  <c r="I33"/>
  <c r="L33" s="1"/>
  <c r="M33" s="1"/>
  <c r="G24" i="51"/>
  <c r="H27"/>
  <c r="I25"/>
  <c r="K25" s="1"/>
  <c r="J45"/>
  <c r="I45"/>
  <c r="N45" s="1"/>
  <c r="J51"/>
  <c r="J52"/>
  <c r="I51"/>
  <c r="M93" i="27"/>
  <c r="P93"/>
  <c r="K21" i="31"/>
  <c r="K33" i="28"/>
  <c r="J33"/>
  <c r="L33" s="1"/>
  <c r="H16" i="7"/>
  <c r="K14"/>
  <c r="J12"/>
  <c r="I10"/>
  <c r="K6"/>
  <c r="M65" i="28"/>
  <c r="N65" s="1"/>
  <c r="V65" s="1"/>
  <c r="L65"/>
  <c r="S12" i="51"/>
  <c r="P148" i="27"/>
  <c r="O88"/>
  <c r="K103"/>
  <c r="M103" s="1"/>
  <c r="K101"/>
  <c r="P101" s="1"/>
  <c r="M156"/>
  <c r="P156"/>
  <c r="P114"/>
  <c r="O19" i="28"/>
  <c r="I143" i="14"/>
  <c r="K45" i="51"/>
  <c r="U45" s="1"/>
  <c r="O33" i="36"/>
  <c r="N33"/>
  <c r="L47"/>
  <c r="M47" s="1"/>
  <c r="S47" s="1"/>
  <c r="O7" i="31"/>
  <c r="P7" i="27"/>
  <c r="N7"/>
  <c r="O7" s="1"/>
  <c r="M45" i="28"/>
  <c r="N45" s="1"/>
  <c r="L13" i="31"/>
  <c r="M13"/>
  <c r="N13" s="1"/>
  <c r="I6" i="51"/>
  <c r="M9" i="28"/>
  <c r="N9" s="1"/>
  <c r="O9"/>
  <c r="M14"/>
  <c r="N14"/>
  <c r="N40" i="36"/>
  <c r="S40" s="1"/>
  <c r="L45"/>
  <c r="M45" s="1"/>
  <c r="K45"/>
  <c r="S45" s="1"/>
  <c r="O51"/>
  <c r="N51"/>
  <c r="L9" i="31"/>
  <c r="P125" i="27"/>
  <c r="L61"/>
  <c r="K60"/>
  <c r="K30"/>
  <c r="L30"/>
  <c r="L59" i="28"/>
  <c r="K59"/>
  <c r="O41"/>
  <c r="O24" i="31"/>
  <c r="L28"/>
  <c r="T28" s="1"/>
  <c r="O28"/>
  <c r="K57" i="28"/>
  <c r="F58" i="27"/>
  <c r="P132"/>
  <c r="N132"/>
  <c r="O132" s="1"/>
  <c r="M132"/>
  <c r="K38" i="36"/>
  <c r="L38"/>
  <c r="M38" s="1"/>
  <c r="N131" i="27"/>
  <c r="O131"/>
  <c r="M71" i="28"/>
  <c r="N71"/>
  <c r="V71"/>
  <c r="O71"/>
  <c r="L71"/>
  <c r="K31" i="36"/>
  <c r="L31"/>
  <c r="M31"/>
  <c r="N31"/>
  <c r="N62"/>
  <c r="K62"/>
  <c r="L62"/>
  <c r="M62"/>
  <c r="L8" i="51"/>
  <c r="M8" s="1"/>
  <c r="M9" s="1"/>
  <c r="K8"/>
  <c r="K9" s="1"/>
  <c r="N8"/>
  <c r="L43" i="27"/>
  <c r="K43"/>
  <c r="Q43" s="1"/>
  <c r="L58" i="36"/>
  <c r="M58" s="1"/>
  <c r="F49" i="51"/>
  <c r="I47"/>
  <c r="J47"/>
  <c r="J49" s="1"/>
  <c r="S41" i="36"/>
  <c r="O59" i="28"/>
  <c r="N9" i="51"/>
  <c r="H51" i="7"/>
  <c r="L12" i="27"/>
  <c r="K15"/>
  <c r="K116"/>
  <c r="K119"/>
  <c r="L9" i="51"/>
  <c r="P90" i="27"/>
  <c r="O39" i="28"/>
  <c r="K24"/>
  <c r="J5"/>
  <c r="S18" i="51"/>
  <c r="S21"/>
  <c r="L24" i="31"/>
  <c r="M9"/>
  <c r="N9" s="1"/>
  <c r="T9" s="1"/>
  <c r="L9" i="28"/>
  <c r="N5" i="51"/>
  <c r="K47" i="36"/>
  <c r="L45" i="51"/>
  <c r="M45"/>
  <c r="M19" i="28"/>
  <c r="N19" s="1"/>
  <c r="M76" i="27"/>
  <c r="L15" i="36"/>
  <c r="M15" s="1"/>
  <c r="M27" i="31"/>
  <c r="N27" s="1"/>
  <c r="O66" i="28"/>
  <c r="I11" i="36"/>
  <c r="M67" i="28"/>
  <c r="N67"/>
  <c r="M49"/>
  <c r="N49" s="1"/>
  <c r="P138" i="27"/>
  <c r="I9" i="51"/>
  <c r="K26" i="36"/>
  <c r="I28" i="7"/>
  <c r="O28" s="1"/>
  <c r="J42"/>
  <c r="H23"/>
  <c r="K40" i="28"/>
  <c r="F42" i="27"/>
  <c r="E54" i="28"/>
  <c r="I14" i="51"/>
  <c r="L14" s="1"/>
  <c r="J17" i="31"/>
  <c r="J53" i="7"/>
  <c r="I25"/>
  <c r="L142" i="27"/>
  <c r="I16" i="36"/>
  <c r="R18" i="51"/>
  <c r="S50" i="36"/>
  <c r="O15" i="7"/>
  <c r="R43" i="36"/>
  <c r="R46"/>
  <c r="D307" i="14"/>
  <c r="I307"/>
  <c r="E307"/>
  <c r="H307"/>
  <c r="I311"/>
  <c r="I295"/>
  <c r="O20" i="7"/>
  <c r="L57" i="36"/>
  <c r="M57"/>
  <c r="K57"/>
  <c r="N57"/>
  <c r="K56"/>
  <c r="N53"/>
  <c r="K49"/>
  <c r="N49"/>
  <c r="L49"/>
  <c r="M49" s="1"/>
  <c r="K48"/>
  <c r="L48"/>
  <c r="M48"/>
  <c r="N48"/>
  <c r="N47"/>
  <c r="N45"/>
  <c r="N44"/>
  <c r="K40"/>
  <c r="N39"/>
  <c r="L39"/>
  <c r="L11"/>
  <c r="M11" s="1"/>
  <c r="I5" i="7"/>
  <c r="O51" i="28"/>
  <c r="M51"/>
  <c r="N51" s="1"/>
  <c r="L51"/>
  <c r="O48"/>
  <c r="M46"/>
  <c r="N46" s="1"/>
  <c r="L42"/>
  <c r="M40"/>
  <c r="N40"/>
  <c r="O40"/>
  <c r="O36"/>
  <c r="M36"/>
  <c r="N36" s="1"/>
  <c r="L36"/>
  <c r="O29"/>
  <c r="M29"/>
  <c r="N29" s="1"/>
  <c r="K33" i="51"/>
  <c r="L33"/>
  <c r="M33"/>
  <c r="N33"/>
  <c r="N54"/>
  <c r="K54"/>
  <c r="L54"/>
  <c r="M54"/>
  <c r="L51"/>
  <c r="M51"/>
  <c r="K51"/>
  <c r="N42"/>
  <c r="K42"/>
  <c r="N48"/>
  <c r="J37"/>
  <c r="O21" i="28"/>
  <c r="M21"/>
  <c r="F55" i="51"/>
  <c r="J11" i="28"/>
  <c r="J60"/>
  <c r="M60" s="1"/>
  <c r="N60" s="1"/>
  <c r="I20" i="51"/>
  <c r="F21"/>
  <c r="J58" i="28"/>
  <c r="K54"/>
  <c r="J54"/>
  <c r="L54" s="1"/>
  <c r="J18"/>
  <c r="U144" i="27"/>
  <c r="U138"/>
  <c r="P137"/>
  <c r="N137"/>
  <c r="O137"/>
  <c r="M137"/>
  <c r="K133"/>
  <c r="L133"/>
  <c r="K130"/>
  <c r="M128"/>
  <c r="U128" s="1"/>
  <c r="N128"/>
  <c r="O128" s="1"/>
  <c r="P128"/>
  <c r="N124"/>
  <c r="O124" s="1"/>
  <c r="M124"/>
  <c r="P124"/>
  <c r="P119"/>
  <c r="N117"/>
  <c r="O117" s="1"/>
  <c r="L71"/>
  <c r="K74"/>
  <c r="M74" s="1"/>
  <c r="Q7"/>
  <c r="P117"/>
  <c r="L90"/>
  <c r="U93"/>
  <c r="K105"/>
  <c r="P83"/>
  <c r="P74"/>
  <c r="J28" i="51"/>
  <c r="I28"/>
  <c r="F56"/>
  <c r="J56" s="1"/>
  <c r="K48" i="27"/>
  <c r="L48"/>
  <c r="N61"/>
  <c r="O61" s="1"/>
  <c r="U61" s="1"/>
  <c r="M61"/>
  <c r="P61"/>
  <c r="N15"/>
  <c r="O15"/>
  <c r="M15"/>
  <c r="P15"/>
  <c r="K41"/>
  <c r="M26" i="31"/>
  <c r="N26" s="1"/>
  <c r="M25"/>
  <c r="N25"/>
  <c r="O25"/>
  <c r="L25"/>
  <c r="J19"/>
  <c r="O9"/>
  <c r="J16"/>
  <c r="O16" s="1"/>
  <c r="M15"/>
  <c r="N15" s="1"/>
  <c r="M10" i="51"/>
  <c r="L28" i="28"/>
  <c r="M11"/>
  <c r="N11" s="1"/>
  <c r="O11"/>
  <c r="N17" i="36"/>
  <c r="L17"/>
  <c r="M17"/>
  <c r="K17"/>
  <c r="S17" s="1"/>
  <c r="M101" i="27"/>
  <c r="L45" i="28"/>
  <c r="V45" s="1"/>
  <c r="K13" i="51"/>
  <c r="O46" i="28"/>
  <c r="O49"/>
  <c r="K39" i="36"/>
  <c r="N43"/>
  <c r="M57" i="28"/>
  <c r="N57" s="1"/>
  <c r="O20"/>
  <c r="L17" i="31"/>
  <c r="T17" s="1"/>
  <c r="O17"/>
  <c r="O18" i="28"/>
  <c r="M63"/>
  <c r="N63" s="1"/>
  <c r="L63"/>
  <c r="O63"/>
  <c r="N25" i="51"/>
  <c r="L19" i="28"/>
  <c r="R19" s="1"/>
  <c r="V19" s="1"/>
  <c r="M27" i="27"/>
  <c r="M88"/>
  <c r="L13" i="51"/>
  <c r="M13" s="1"/>
  <c r="M20" i="28"/>
  <c r="I37" i="51"/>
  <c r="N101" i="27"/>
  <c r="O101" s="1"/>
  <c r="L25" i="51"/>
  <c r="U25" s="1"/>
  <c r="H49" i="7"/>
  <c r="O49" s="1"/>
  <c r="O51"/>
  <c r="O70" i="28"/>
  <c r="M70"/>
  <c r="L70"/>
  <c r="M19" i="31"/>
  <c r="N19" s="1"/>
  <c r="L19"/>
  <c r="O19"/>
  <c r="L5"/>
  <c r="H48" i="7"/>
  <c r="J48"/>
  <c r="M157" i="27"/>
  <c r="H52" i="7"/>
  <c r="I52"/>
  <c r="K52"/>
  <c r="P157" i="27"/>
  <c r="K48" i="7"/>
  <c r="O15" i="51"/>
  <c r="N16" i="36"/>
  <c r="L16"/>
  <c r="M16" s="1"/>
  <c r="S16" s="1"/>
  <c r="K16"/>
  <c r="M17" i="31"/>
  <c r="N17" s="1"/>
  <c r="S48" i="36"/>
  <c r="O49" i="51"/>
  <c r="Q9" i="28"/>
  <c r="V9"/>
  <c r="P22" i="51"/>
  <c r="P13"/>
  <c r="P50"/>
  <c r="Q61" i="28"/>
  <c r="Q11"/>
  <c r="P45" i="51"/>
  <c r="P39"/>
  <c r="U39" s="1"/>
  <c r="Q5" i="28"/>
  <c r="P4" i="51"/>
  <c r="P7"/>
  <c r="P20"/>
  <c r="P25"/>
  <c r="Q7" i="28"/>
  <c r="Q28"/>
  <c r="P33" i="51"/>
  <c r="P19"/>
  <c r="Q59" i="28"/>
  <c r="P38" i="51"/>
  <c r="P40" s="1"/>
  <c r="Q66" i="28"/>
  <c r="P41" i="51"/>
  <c r="P44"/>
  <c r="I293" i="14"/>
  <c r="Q57" i="28"/>
  <c r="Q10"/>
  <c r="Q19"/>
  <c r="P53" i="51"/>
  <c r="P35"/>
  <c r="P54"/>
  <c r="Q20" i="28"/>
  <c r="P47" i="51"/>
  <c r="P14"/>
  <c r="P23"/>
  <c r="P24" s="1"/>
  <c r="Q6" i="28"/>
  <c r="P36" i="51"/>
  <c r="P26"/>
  <c r="Q24" i="28"/>
  <c r="Q58"/>
  <c r="Q27"/>
  <c r="Q63"/>
  <c r="Q60"/>
  <c r="P10" i="51"/>
  <c r="Q55" i="28"/>
  <c r="Q54"/>
  <c r="P16" i="51"/>
  <c r="P32"/>
  <c r="P48"/>
  <c r="Q8" i="28"/>
  <c r="Q23"/>
  <c r="Q18"/>
  <c r="Q56"/>
  <c r="P11" i="51"/>
  <c r="P8"/>
  <c r="P42"/>
  <c r="Q64" i="28"/>
  <c r="P5" i="51"/>
  <c r="Q12" i="28"/>
  <c r="P51" i="51"/>
  <c r="P17"/>
  <c r="U42"/>
  <c r="N21" i="28"/>
  <c r="V21"/>
  <c r="K20" i="51"/>
  <c r="L20"/>
  <c r="N20"/>
  <c r="I21"/>
  <c r="O54" i="28"/>
  <c r="M54"/>
  <c r="N54" s="1"/>
  <c r="N133" i="27"/>
  <c r="O133" s="1"/>
  <c r="P133"/>
  <c r="M133"/>
  <c r="P130"/>
  <c r="N105"/>
  <c r="O105" s="1"/>
  <c r="Q48"/>
  <c r="U48"/>
  <c r="K28" i="51"/>
  <c r="N28"/>
  <c r="L28"/>
  <c r="Q41" i="27"/>
  <c r="L16" i="31"/>
  <c r="N20" i="28"/>
  <c r="M25" i="51"/>
  <c r="U133" i="27"/>
  <c r="P46" i="51"/>
  <c r="P18"/>
  <c r="P43"/>
  <c r="P21"/>
  <c r="P27"/>
  <c r="P34"/>
  <c r="P12"/>
  <c r="P6"/>
  <c r="T62" i="27"/>
  <c r="T32"/>
  <c r="S10" i="31"/>
  <c r="R11" i="36"/>
  <c r="Q49" i="28"/>
  <c r="V49"/>
  <c r="T59" i="27"/>
  <c r="S13" i="31"/>
  <c r="T13"/>
  <c r="Q48" i="28"/>
  <c r="S19" i="31"/>
  <c r="T19"/>
  <c r="T40" i="27"/>
  <c r="R16" i="36"/>
  <c r="T100" i="27"/>
  <c r="T61"/>
  <c r="T27"/>
  <c r="Q47" i="28"/>
  <c r="T45" i="27"/>
  <c r="Q45" i="28"/>
  <c r="T106" i="27"/>
  <c r="R17" i="36"/>
  <c r="T55" i="27"/>
  <c r="S18" i="31"/>
  <c r="S20"/>
  <c r="R39" i="36"/>
  <c r="T58" i="27"/>
  <c r="S17" i="31"/>
  <c r="T60" i="27"/>
  <c r="T56"/>
  <c r="T102"/>
  <c r="T43"/>
  <c r="S8" i="31"/>
  <c r="T107" i="27"/>
  <c r="Q50" i="28"/>
  <c r="S15" i="31"/>
  <c r="R38" i="36"/>
  <c r="T57" i="27"/>
  <c r="T26"/>
  <c r="T44"/>
  <c r="T39"/>
  <c r="T29"/>
  <c r="S22" i="31"/>
  <c r="S9"/>
  <c r="T42" i="27"/>
  <c r="Q46" i="28"/>
  <c r="R31" i="36"/>
  <c r="S31"/>
  <c r="S6" i="31"/>
  <c r="S21"/>
  <c r="R40" i="36"/>
  <c r="T103" i="27"/>
  <c r="T25"/>
  <c r="T46"/>
  <c r="S5" i="31"/>
  <c r="S14"/>
  <c r="S7"/>
  <c r="R24" i="36"/>
  <c r="S24"/>
  <c r="T104" i="27"/>
  <c r="T30"/>
  <c r="T41"/>
  <c r="T28"/>
  <c r="R19" i="36"/>
  <c r="T101" i="27"/>
  <c r="U101"/>
  <c r="R10" i="36"/>
  <c r="R18"/>
  <c r="T116" i="27"/>
  <c r="R15" i="36"/>
  <c r="T31" i="27"/>
  <c r="S12" i="31"/>
  <c r="R30" i="36"/>
  <c r="Q35" i="28"/>
  <c r="S16" i="31"/>
  <c r="Q33" i="28"/>
  <c r="T105" i="27"/>
  <c r="Q32" i="28"/>
  <c r="P9" i="51"/>
  <c r="P49"/>
  <c r="P55"/>
  <c r="P15"/>
  <c r="P37"/>
  <c r="P52"/>
  <c r="M20"/>
  <c r="U20" s="1"/>
  <c r="U13"/>
  <c r="E19" i="28"/>
  <c r="V48" l="1"/>
  <c r="L48"/>
  <c r="V54"/>
  <c r="V66"/>
  <c r="N83" i="27"/>
  <c r="U83" s="1"/>
  <c r="N74"/>
  <c r="O74" s="1"/>
  <c r="U41"/>
  <c r="M14" i="51"/>
  <c r="M15" s="1"/>
  <c r="L15"/>
  <c r="M14" i="31"/>
  <c r="N14" s="1"/>
  <c r="O14"/>
  <c r="L14"/>
  <c r="T14" s="1"/>
  <c r="J10" i="36"/>
  <c r="I10"/>
  <c r="L21" i="31"/>
  <c r="O21"/>
  <c r="M21"/>
  <c r="N21" s="1"/>
  <c r="M32" i="28"/>
  <c r="N32" s="1"/>
  <c r="O32"/>
  <c r="L32"/>
  <c r="I12" i="51"/>
  <c r="L11"/>
  <c r="M11" s="1"/>
  <c r="M12" s="1"/>
  <c r="K11"/>
  <c r="K12" s="1"/>
  <c r="N11"/>
  <c r="N12" s="1"/>
  <c r="O12"/>
  <c r="U28"/>
  <c r="M58" i="28"/>
  <c r="N58" s="1"/>
  <c r="L5"/>
  <c r="M5"/>
  <c r="N5" s="1"/>
  <c r="P60" i="27"/>
  <c r="N11"/>
  <c r="O11" s="1"/>
  <c r="M11"/>
  <c r="K61" i="28"/>
  <c r="J61"/>
  <c r="J41" i="51"/>
  <c r="J43" s="1"/>
  <c r="F43"/>
  <c r="I41"/>
  <c r="L6" i="31"/>
  <c r="O6"/>
  <c r="H13" i="7"/>
  <c r="K13"/>
  <c r="J13"/>
  <c r="I13"/>
  <c r="G13"/>
  <c r="O13" s="1"/>
  <c r="K85" i="27"/>
  <c r="G102"/>
  <c r="L85"/>
  <c r="K53" i="36"/>
  <c r="S53" s="1"/>
  <c r="L53"/>
  <c r="M53" s="1"/>
  <c r="I16" i="51"/>
  <c r="F18"/>
  <c r="F17"/>
  <c r="M105" i="27"/>
  <c r="M30"/>
  <c r="M23" i="51"/>
  <c r="U23" s="1"/>
  <c r="G64" i="27"/>
  <c r="L34"/>
  <c r="K34"/>
  <c r="N20" i="36"/>
  <c r="L20"/>
  <c r="M20" s="1"/>
  <c r="K20"/>
  <c r="M13" i="27"/>
  <c r="K5" i="51"/>
  <c r="L5"/>
  <c r="M5" s="1"/>
  <c r="L59" i="36"/>
  <c r="M59" s="1"/>
  <c r="K59"/>
  <c r="M42" i="28"/>
  <c r="N42" s="1"/>
  <c r="V42"/>
  <c r="H14" i="7"/>
  <c r="J14"/>
  <c r="G14"/>
  <c r="J7"/>
  <c r="G7"/>
  <c r="H7"/>
  <c r="L143" i="27"/>
  <c r="K143"/>
  <c r="O12" i="31"/>
  <c r="M12"/>
  <c r="N12" s="1"/>
  <c r="L12"/>
  <c r="L20"/>
  <c r="M20"/>
  <c r="N20" s="1"/>
  <c r="O20"/>
  <c r="K43" i="36"/>
  <c r="N58"/>
  <c r="S58" s="1"/>
  <c r="K58"/>
  <c r="N56"/>
  <c r="S56"/>
  <c r="I54"/>
  <c r="J54"/>
  <c r="J19"/>
  <c r="I19"/>
  <c r="I50" i="51"/>
  <c r="H52"/>
  <c r="N130" i="27"/>
  <c r="O130" s="1"/>
  <c r="M130"/>
  <c r="M18" i="28"/>
  <c r="N18" s="1"/>
  <c r="L18"/>
  <c r="V18" s="1"/>
  <c r="L11"/>
  <c r="V11" s="1"/>
  <c r="M5" i="31"/>
  <c r="O5"/>
  <c r="M59" i="27"/>
  <c r="P59"/>
  <c r="L19" i="51"/>
  <c r="K19"/>
  <c r="O21"/>
  <c r="N19"/>
  <c r="N21" s="1"/>
  <c r="M72" i="27"/>
  <c r="P72"/>
  <c r="U72"/>
  <c r="O23" i="31"/>
  <c r="T23" s="1"/>
  <c r="J38" i="51"/>
  <c r="J40" s="1"/>
  <c r="F40"/>
  <c r="L26" i="31"/>
  <c r="O26"/>
  <c r="T26" s="1"/>
  <c r="L40" i="28"/>
  <c r="V40" s="1"/>
  <c r="L29"/>
  <c r="V29" s="1"/>
  <c r="M7" i="31"/>
  <c r="N7" s="1"/>
  <c r="L7"/>
  <c r="T7" s="1"/>
  <c r="J26" i="7"/>
  <c r="H26"/>
  <c r="I26"/>
  <c r="O26" s="1"/>
  <c r="G26"/>
  <c r="K21"/>
  <c r="H21"/>
  <c r="I21"/>
  <c r="J21"/>
  <c r="G21"/>
  <c r="O21" s="1"/>
  <c r="K35" i="28"/>
  <c r="J35"/>
  <c r="L41"/>
  <c r="V41" s="1"/>
  <c r="M41"/>
  <c r="N41" s="1"/>
  <c r="L8"/>
  <c r="M8"/>
  <c r="N8" s="1"/>
  <c r="L6"/>
  <c r="O6"/>
  <c r="K12"/>
  <c r="J12"/>
  <c r="J10"/>
  <c r="K10"/>
  <c r="N38" i="36"/>
  <c r="S38" s="1"/>
  <c r="L18"/>
  <c r="M18" s="1"/>
  <c r="N18"/>
  <c r="K18"/>
  <c r="N15"/>
  <c r="K15"/>
  <c r="S15" s="1"/>
  <c r="L73" i="27"/>
  <c r="K73"/>
  <c r="K100"/>
  <c r="L100"/>
  <c r="L84"/>
  <c r="K84"/>
  <c r="G106"/>
  <c r="L89"/>
  <c r="N114"/>
  <c r="O114" s="1"/>
  <c r="M114"/>
  <c r="U114" s="1"/>
  <c r="N151" s="1"/>
  <c r="M117"/>
  <c r="U117" s="1"/>
  <c r="P118"/>
  <c r="N118"/>
  <c r="O118" s="1"/>
  <c r="M118"/>
  <c r="U118" s="1"/>
  <c r="H151" s="1"/>
  <c r="K121"/>
  <c r="K123"/>
  <c r="L123"/>
  <c r="K127"/>
  <c r="P131"/>
  <c r="U131"/>
  <c r="M131"/>
  <c r="K136"/>
  <c r="K139"/>
  <c r="M142"/>
  <c r="P142"/>
  <c r="U142"/>
  <c r="N142"/>
  <c r="O142" s="1"/>
  <c r="M28" i="51"/>
  <c r="I56"/>
  <c r="O5" i="28"/>
  <c r="M39" i="36"/>
  <c r="S39" s="1"/>
  <c r="M60" i="27"/>
  <c r="T27" i="31"/>
  <c r="J22" i="36"/>
  <c r="V36" i="28"/>
  <c r="S61" i="36"/>
  <c r="U10" i="51"/>
  <c r="L27"/>
  <c r="M6" i="31"/>
  <c r="N6" s="1"/>
  <c r="M24" i="28"/>
  <c r="N24" s="1"/>
  <c r="N103" i="27"/>
  <c r="N60"/>
  <c r="O60" s="1"/>
  <c r="U74"/>
  <c r="U90"/>
  <c r="L56" i="36"/>
  <c r="M56" s="1"/>
  <c r="S57"/>
  <c r="U132" i="27"/>
  <c r="N30"/>
  <c r="O30" s="1"/>
  <c r="F44" i="51"/>
  <c r="N59" i="36"/>
  <c r="N13" i="27"/>
  <c r="O13" s="1"/>
  <c r="K146"/>
  <c r="I38" i="51"/>
  <c r="U8"/>
  <c r="U137" i="27"/>
  <c r="U33" i="51"/>
  <c r="J8" i="31"/>
  <c r="J18"/>
  <c r="M16"/>
  <c r="N16" s="1"/>
  <c r="L60" i="28"/>
  <c r="V60" s="1"/>
  <c r="O60"/>
  <c r="M140" i="27"/>
  <c r="U140" s="1"/>
  <c r="P140"/>
  <c r="L28"/>
  <c r="K28"/>
  <c r="K44"/>
  <c r="L44"/>
  <c r="N32" i="51"/>
  <c r="N34" s="1"/>
  <c r="L32"/>
  <c r="I34"/>
  <c r="K32"/>
  <c r="K34" s="1"/>
  <c r="J11"/>
  <c r="J12" s="1"/>
  <c r="F12"/>
  <c r="K10" i="31"/>
  <c r="J10"/>
  <c r="M28" i="28"/>
  <c r="N28" s="1"/>
  <c r="O28"/>
  <c r="J16" i="7"/>
  <c r="O16"/>
  <c r="I16"/>
  <c r="G16"/>
  <c r="K10"/>
  <c r="O10" s="1"/>
  <c r="H10"/>
  <c r="J10"/>
  <c r="K141" i="27"/>
  <c r="K22" i="36"/>
  <c r="H24" i="51"/>
  <c r="I22"/>
  <c r="M64" i="28"/>
  <c r="N64" s="1"/>
  <c r="L64"/>
  <c r="N14" i="51"/>
  <c r="N15" s="1"/>
  <c r="K14"/>
  <c r="K15" s="1"/>
  <c r="M116" i="27"/>
  <c r="P116"/>
  <c r="N116"/>
  <c r="O116" s="1"/>
  <c r="M59" i="28"/>
  <c r="N59" s="1"/>
  <c r="K45" i="27"/>
  <c r="L45"/>
  <c r="N35" i="51"/>
  <c r="K35"/>
  <c r="N70" i="28"/>
  <c r="V70" s="1"/>
  <c r="N11" i="36"/>
  <c r="K11"/>
  <c r="M119" i="27"/>
  <c r="U119" s="1"/>
  <c r="N119"/>
  <c r="O119" s="1"/>
  <c r="K47" i="51"/>
  <c r="L47"/>
  <c r="I49"/>
  <c r="N47"/>
  <c r="N49" s="1"/>
  <c r="O33" i="28"/>
  <c r="V33" s="1"/>
  <c r="M33"/>
  <c r="N33" s="1"/>
  <c r="L51" i="36"/>
  <c r="M51" s="1"/>
  <c r="M125" i="27"/>
  <c r="U125" s="1"/>
  <c r="N125"/>
  <c r="O125" s="1"/>
  <c r="M7"/>
  <c r="U7" s="1"/>
  <c r="L57" i="28"/>
  <c r="O57"/>
  <c r="O14"/>
  <c r="L14"/>
  <c r="L57" i="27"/>
  <c r="K57"/>
  <c r="L20" i="28"/>
  <c r="V20" s="1"/>
  <c r="O27"/>
  <c r="V27" s="1"/>
  <c r="M27"/>
  <c r="N27" s="1"/>
  <c r="N26" i="51"/>
  <c r="L26"/>
  <c r="O27"/>
  <c r="I27"/>
  <c r="M89" i="27"/>
  <c r="N89"/>
  <c r="O89" s="1"/>
  <c r="P89"/>
  <c r="K27" i="36"/>
  <c r="N27"/>
  <c r="L27"/>
  <c r="M27" s="1"/>
  <c r="K21"/>
  <c r="N21"/>
  <c r="N26"/>
  <c r="L26"/>
  <c r="M26" s="1"/>
  <c r="P20" i="27"/>
  <c r="K4" i="51"/>
  <c r="L4"/>
  <c r="N4"/>
  <c r="N6" s="1"/>
  <c r="O6"/>
  <c r="K23" i="7"/>
  <c r="O23"/>
  <c r="I23"/>
  <c r="J23"/>
  <c r="H18"/>
  <c r="K18"/>
  <c r="I18"/>
  <c r="G18"/>
  <c r="J18"/>
  <c r="H41"/>
  <c r="O41" s="1"/>
  <c r="I41"/>
  <c r="J41"/>
  <c r="J52"/>
  <c r="O52" s="1"/>
  <c r="N27" i="51"/>
  <c r="U124" i="27"/>
  <c r="U157"/>
  <c r="O83"/>
  <c r="L58" i="28"/>
  <c r="J32" i="51"/>
  <c r="J34" s="1"/>
  <c r="T6" i="31"/>
  <c r="T15"/>
  <c r="U43" i="27"/>
  <c r="P105"/>
  <c r="U105" s="1"/>
  <c r="P103"/>
  <c r="V63" i="28"/>
  <c r="S43" i="36"/>
  <c r="I15" i="51"/>
  <c r="O58" i="28"/>
  <c r="V58" s="1"/>
  <c r="T25" i="31"/>
  <c r="I53" i="51"/>
  <c r="O42" i="28"/>
  <c r="N22" i="36"/>
  <c r="S22" s="1"/>
  <c r="S49"/>
  <c r="M39" i="28"/>
  <c r="N39" s="1"/>
  <c r="O24"/>
  <c r="P30" i="27"/>
  <c r="K62"/>
  <c r="U156"/>
  <c r="J16" i="51"/>
  <c r="L43" i="36"/>
  <c r="M43" s="1"/>
  <c r="K7" i="7"/>
  <c r="O7" s="1"/>
  <c r="O22"/>
  <c r="J5" i="51"/>
  <c r="J6" s="1"/>
  <c r="L35"/>
  <c r="V39" i="28"/>
  <c r="V51"/>
  <c r="L12" i="51"/>
  <c r="S62" i="36"/>
  <c r="N148" i="27"/>
  <c r="O148" s="1"/>
  <c r="M148"/>
  <c r="J55" i="28"/>
  <c r="K55"/>
  <c r="N122" i="27"/>
  <c r="P122"/>
  <c r="N12"/>
  <c r="O12" s="1"/>
  <c r="M12"/>
  <c r="S52" i="36"/>
  <c r="K52"/>
  <c r="J22" i="31"/>
  <c r="K22"/>
  <c r="H9" i="7"/>
  <c r="I45"/>
  <c r="K45"/>
  <c r="K50"/>
  <c r="I50"/>
  <c r="J50"/>
  <c r="O50" s="1"/>
  <c r="G39" i="27"/>
  <c r="G25"/>
  <c r="G55"/>
  <c r="K10"/>
  <c r="F26"/>
  <c r="F56" s="1"/>
  <c r="F40"/>
  <c r="L13"/>
  <c r="U13" s="1"/>
  <c r="G42"/>
  <c r="G58"/>
  <c r="J46" i="36"/>
  <c r="I46"/>
  <c r="N32"/>
  <c r="S32" s="1"/>
  <c r="N51" i="51"/>
  <c r="U51" s="1"/>
  <c r="P88" i="27"/>
  <c r="U88" s="1"/>
  <c r="V67" i="28"/>
  <c r="K107" i="27"/>
  <c r="K104"/>
  <c r="K46" i="28"/>
  <c r="K5" i="7"/>
  <c r="O5" s="1"/>
  <c r="S33" i="36"/>
  <c r="K33"/>
  <c r="O47" i="28"/>
  <c r="L47"/>
  <c r="N36" i="51"/>
  <c r="O37"/>
  <c r="K36"/>
  <c r="K56" i="27"/>
  <c r="L56"/>
  <c r="L23" i="28"/>
  <c r="M23"/>
  <c r="N23" s="1"/>
  <c r="J50"/>
  <c r="K50"/>
  <c r="L46"/>
  <c r="K29" i="7"/>
  <c r="H29"/>
  <c r="O29" s="1"/>
  <c r="G29"/>
  <c r="I29"/>
  <c r="K27"/>
  <c r="J27"/>
  <c r="G27"/>
  <c r="H8"/>
  <c r="I8"/>
  <c r="K8"/>
  <c r="G8"/>
  <c r="O8" s="1"/>
  <c r="H46"/>
  <c r="O46" s="1"/>
  <c r="J46"/>
  <c r="I42"/>
  <c r="O42"/>
  <c r="G56" i="28"/>
  <c r="J7"/>
  <c r="K7"/>
  <c r="L30" i="36"/>
  <c r="M30" s="1"/>
  <c r="N30"/>
  <c r="B27" i="27"/>
  <c r="B57" s="1"/>
  <c r="B41"/>
  <c r="G26"/>
  <c r="G40"/>
  <c r="L11"/>
  <c r="K14"/>
  <c r="G29"/>
  <c r="G31"/>
  <c r="K16"/>
  <c r="G46"/>
  <c r="G32"/>
  <c r="K17"/>
  <c r="N27"/>
  <c r="P71"/>
  <c r="U71" s="1"/>
  <c r="M71"/>
  <c r="L87"/>
  <c r="K87"/>
  <c r="K109"/>
  <c r="L109"/>
  <c r="J9" i="51"/>
  <c r="K86" i="27"/>
  <c r="S15" i="51"/>
  <c r="K147" i="27"/>
  <c r="V24" i="28" l="1"/>
  <c r="V23"/>
  <c r="U60" i="27"/>
  <c r="V64" i="28"/>
  <c r="V6"/>
  <c r="V5"/>
  <c r="P151" i="27"/>
  <c r="U32" i="51"/>
  <c r="U34" s="1"/>
  <c r="P86" i="27"/>
  <c r="N86"/>
  <c r="O86" s="1"/>
  <c r="U86"/>
  <c r="M86"/>
  <c r="L32"/>
  <c r="K32"/>
  <c r="K26"/>
  <c r="L26"/>
  <c r="K55"/>
  <c r="L55"/>
  <c r="P62"/>
  <c r="N62"/>
  <c r="O62" s="1"/>
  <c r="M62"/>
  <c r="U62" s="1"/>
  <c r="K49" i="51"/>
  <c r="Q45" i="27"/>
  <c r="U45" s="1"/>
  <c r="N28"/>
  <c r="O28" s="1"/>
  <c r="M28"/>
  <c r="U28"/>
  <c r="K64"/>
  <c r="L64"/>
  <c r="N17"/>
  <c r="O17" s="1"/>
  <c r="M17"/>
  <c r="U17" s="1"/>
  <c r="P17"/>
  <c r="K40"/>
  <c r="L40"/>
  <c r="K56" i="28"/>
  <c r="J56"/>
  <c r="M10" i="27"/>
  <c r="U10" s="1"/>
  <c r="N10"/>
  <c r="O10" s="1"/>
  <c r="O55" i="28"/>
  <c r="M55"/>
  <c r="N55" s="1"/>
  <c r="L55"/>
  <c r="V55" s="1"/>
  <c r="N57" i="27"/>
  <c r="O57" s="1"/>
  <c r="P57"/>
  <c r="M57"/>
  <c r="U57" s="1"/>
  <c r="M47" i="51"/>
  <c r="M49" s="1"/>
  <c r="L49"/>
  <c r="M127" i="27"/>
  <c r="P127"/>
  <c r="N127"/>
  <c r="O127" s="1"/>
  <c r="P121"/>
  <c r="N121"/>
  <c r="O121" s="1"/>
  <c r="M121"/>
  <c r="U121" s="1"/>
  <c r="M12" i="28"/>
  <c r="N12" s="1"/>
  <c r="O12"/>
  <c r="L12"/>
  <c r="K19" i="36"/>
  <c r="L19"/>
  <c r="M19" s="1"/>
  <c r="N19"/>
  <c r="S19" s="1"/>
  <c r="O61" i="28"/>
  <c r="L61"/>
  <c r="M61"/>
  <c r="N61" s="1"/>
  <c r="M147" i="27"/>
  <c r="P147"/>
  <c r="N147"/>
  <c r="O147" s="1"/>
  <c r="U27"/>
  <c r="O27"/>
  <c r="N16"/>
  <c r="O16" s="1"/>
  <c r="P16"/>
  <c r="M16"/>
  <c r="U16" s="1"/>
  <c r="N107"/>
  <c r="O107" s="1"/>
  <c r="M107"/>
  <c r="P107"/>
  <c r="L39"/>
  <c r="K39"/>
  <c r="L46"/>
  <c r="K46"/>
  <c r="N14"/>
  <c r="O14" s="1"/>
  <c r="M14"/>
  <c r="U14" s="1"/>
  <c r="P14"/>
  <c r="M50" i="28"/>
  <c r="N50" s="1"/>
  <c r="O50"/>
  <c r="L50"/>
  <c r="M56" i="27"/>
  <c r="P56"/>
  <c r="N56"/>
  <c r="O56" s="1"/>
  <c r="O9" i="51"/>
  <c r="U7"/>
  <c r="U9" s="1"/>
  <c r="K25" i="27"/>
  <c r="L25"/>
  <c r="M22" i="31"/>
  <c r="N22" s="1"/>
  <c r="L22"/>
  <c r="O22"/>
  <c r="O122" i="27"/>
  <c r="U122" s="1"/>
  <c r="L37" i="51"/>
  <c r="M35"/>
  <c r="I55"/>
  <c r="N53"/>
  <c r="N55" s="1"/>
  <c r="K53"/>
  <c r="K55" s="1"/>
  <c r="L53"/>
  <c r="O55"/>
  <c r="K6"/>
  <c r="M26"/>
  <c r="M27" s="1"/>
  <c r="O18" i="31"/>
  <c r="T18"/>
  <c r="L18"/>
  <c r="M18"/>
  <c r="N18" s="1"/>
  <c r="L56" i="51"/>
  <c r="M56" s="1"/>
  <c r="N56"/>
  <c r="K56"/>
  <c r="M136" i="27"/>
  <c r="N136"/>
  <c r="O136" s="1"/>
  <c r="P136"/>
  <c r="K106"/>
  <c r="L106"/>
  <c r="N100"/>
  <c r="O100" s="1"/>
  <c r="M100"/>
  <c r="U100" s="1"/>
  <c r="P100"/>
  <c r="U143"/>
  <c r="N143"/>
  <c r="O143" s="1"/>
  <c r="M143"/>
  <c r="P143"/>
  <c r="K16" i="51"/>
  <c r="L16"/>
  <c r="N16"/>
  <c r="K10" i="36"/>
  <c r="N10"/>
  <c r="S10" s="1"/>
  <c r="L10"/>
  <c r="M10" s="1"/>
  <c r="V46" i="28"/>
  <c r="O14" i="7"/>
  <c r="O27"/>
  <c r="V47" i="28"/>
  <c r="O45" i="7"/>
  <c r="U148" i="27"/>
  <c r="U116"/>
  <c r="T16" i="31"/>
  <c r="S26" i="36"/>
  <c r="S51"/>
  <c r="K37" i="51"/>
  <c r="V59" i="28"/>
  <c r="U14" i="51"/>
  <c r="U15" s="1"/>
  <c r="T20" i="31"/>
  <c r="T21"/>
  <c r="P87" i="27"/>
  <c r="N87"/>
  <c r="O87" s="1"/>
  <c r="M87"/>
  <c r="U87" s="1"/>
  <c r="K29"/>
  <c r="L29"/>
  <c r="M104"/>
  <c r="N104"/>
  <c r="O104" s="1"/>
  <c r="P104"/>
  <c r="N46" i="36"/>
  <c r="S46" s="1"/>
  <c r="L46"/>
  <c r="M46" s="1"/>
  <c r="K46"/>
  <c r="L6" i="51"/>
  <c r="M4"/>
  <c r="M6" s="1"/>
  <c r="O24"/>
  <c r="K22"/>
  <c r="K24" s="1"/>
  <c r="N22"/>
  <c r="N24" s="1"/>
  <c r="L22"/>
  <c r="I24"/>
  <c r="M141" i="27"/>
  <c r="P141"/>
  <c r="N141"/>
  <c r="O141" s="1"/>
  <c r="M32" i="51"/>
  <c r="M34" s="1"/>
  <c r="L34"/>
  <c r="N5" i="31"/>
  <c r="T5" s="1"/>
  <c r="N41" i="51"/>
  <c r="N43" s="1"/>
  <c r="O43"/>
  <c r="L41"/>
  <c r="K41"/>
  <c r="K43" s="1"/>
  <c r="I43"/>
  <c r="M109" i="27"/>
  <c r="U109" s="1"/>
  <c r="N109"/>
  <c r="O109" s="1"/>
  <c r="P109"/>
  <c r="K31"/>
  <c r="L31"/>
  <c r="K42"/>
  <c r="L42"/>
  <c r="Q44"/>
  <c r="U44" s="1"/>
  <c r="M146"/>
  <c r="P146"/>
  <c r="N146"/>
  <c r="O146" s="1"/>
  <c r="I44" i="51"/>
  <c r="F46"/>
  <c r="J44"/>
  <c r="J46" s="1"/>
  <c r="N139" i="27"/>
  <c r="O139" s="1"/>
  <c r="P139"/>
  <c r="M139"/>
  <c r="M19" i="51"/>
  <c r="M21" s="1"/>
  <c r="L21"/>
  <c r="I17"/>
  <c r="J17"/>
  <c r="M85" i="27"/>
  <c r="N85"/>
  <c r="O85" s="1"/>
  <c r="P85"/>
  <c r="M7" i="28"/>
  <c r="N7" s="1"/>
  <c r="L7"/>
  <c r="V7" s="1"/>
  <c r="O7"/>
  <c r="L58" i="27"/>
  <c r="K58"/>
  <c r="L10" i="31"/>
  <c r="M10"/>
  <c r="N10" s="1"/>
  <c r="O10"/>
  <c r="T10"/>
  <c r="O8"/>
  <c r="L8"/>
  <c r="M8"/>
  <c r="N8" s="1"/>
  <c r="O40" i="51"/>
  <c r="I40"/>
  <c r="L38"/>
  <c r="N38"/>
  <c r="N40" s="1"/>
  <c r="K38"/>
  <c r="K40" s="1"/>
  <c r="O103" i="27"/>
  <c r="U103" s="1"/>
  <c r="M123"/>
  <c r="U123" s="1"/>
  <c r="N123"/>
  <c r="O123" s="1"/>
  <c r="P123"/>
  <c r="N84"/>
  <c r="O84" s="1"/>
  <c r="M84"/>
  <c r="P84"/>
  <c r="P73"/>
  <c r="N73"/>
  <c r="O73" s="1"/>
  <c r="M73"/>
  <c r="M10" i="28"/>
  <c r="N10" s="1"/>
  <c r="O10"/>
  <c r="L10"/>
  <c r="M35"/>
  <c r="N35" s="1"/>
  <c r="L35"/>
  <c r="O35"/>
  <c r="K21" i="51"/>
  <c r="U19"/>
  <c r="U21" s="1"/>
  <c r="I52"/>
  <c r="N50"/>
  <c r="N52" s="1"/>
  <c r="L50"/>
  <c r="K50"/>
  <c r="K52" s="1"/>
  <c r="O52"/>
  <c r="L54" i="36"/>
  <c r="M54" s="1"/>
  <c r="S54"/>
  <c r="N54"/>
  <c r="K54"/>
  <c r="N34" i="27"/>
  <c r="O34" s="1"/>
  <c r="M34"/>
  <c r="P34"/>
  <c r="U34"/>
  <c r="L102"/>
  <c r="K102"/>
  <c r="U89"/>
  <c r="S20" i="36"/>
  <c r="S11"/>
  <c r="S18"/>
  <c r="U130" i="27"/>
  <c r="U30"/>
  <c r="U11" i="51"/>
  <c r="U12" s="1"/>
  <c r="V8" i="28"/>
  <c r="U11" i="27"/>
  <c r="U36" i="51"/>
  <c r="O9" i="7"/>
  <c r="U12" i="27"/>
  <c r="U5" i="51"/>
  <c r="J18"/>
  <c r="O18" i="7"/>
  <c r="U20" i="27"/>
  <c r="S21" i="36"/>
  <c r="S27"/>
  <c r="V14" i="28"/>
  <c r="V57"/>
  <c r="N37" i="51"/>
  <c r="V28" i="28"/>
  <c r="U59" i="27"/>
  <c r="T12" i="31"/>
  <c r="S59" i="36"/>
  <c r="V32" i="28"/>
  <c r="S30" i="36"/>
  <c r="V35" i="28" l="1"/>
  <c r="U147" i="27"/>
  <c r="U146"/>
  <c r="U139"/>
  <c r="U136"/>
  <c r="U107"/>
  <c r="U104"/>
  <c r="U85"/>
  <c r="U84"/>
  <c r="U73"/>
  <c r="T22" i="31"/>
  <c r="V12" i="28"/>
  <c r="V10"/>
  <c r="I46" i="51"/>
  <c r="L44"/>
  <c r="K44"/>
  <c r="K46" s="1"/>
  <c r="N44"/>
  <c r="N46" s="1"/>
  <c r="O46"/>
  <c r="M16"/>
  <c r="P31" i="27"/>
  <c r="M31"/>
  <c r="N31"/>
  <c r="O31" s="1"/>
  <c r="U31"/>
  <c r="P29"/>
  <c r="M29"/>
  <c r="N29"/>
  <c r="O29" s="1"/>
  <c r="Q39"/>
  <c r="U39" s="1"/>
  <c r="Q40"/>
  <c r="U40" s="1"/>
  <c r="N102"/>
  <c r="O102" s="1"/>
  <c r="M102"/>
  <c r="U102" s="1"/>
  <c r="P102"/>
  <c r="N17" i="51"/>
  <c r="U17" s="1"/>
  <c r="K17"/>
  <c r="L17"/>
  <c r="M17" s="1"/>
  <c r="M22"/>
  <c r="M24" s="1"/>
  <c r="L24"/>
  <c r="M64" i="27"/>
  <c r="N64"/>
  <c r="O64" s="1"/>
  <c r="U64"/>
  <c r="P64"/>
  <c r="N55"/>
  <c r="O55" s="1"/>
  <c r="M55"/>
  <c r="P55"/>
  <c r="U22" i="51"/>
  <c r="U24" s="1"/>
  <c r="T8" i="31"/>
  <c r="U56" i="51"/>
  <c r="V50" i="28"/>
  <c r="V61"/>
  <c r="U16" i="51"/>
  <c r="K18"/>
  <c r="U56" i="27"/>
  <c r="U127"/>
  <c r="U47" i="51"/>
  <c r="U49" s="1"/>
  <c r="L40"/>
  <c r="M38"/>
  <c r="M40" s="1"/>
  <c r="M41"/>
  <c r="M43" s="1"/>
  <c r="L43"/>
  <c r="L56" i="28"/>
  <c r="O56"/>
  <c r="M56"/>
  <c r="N56" s="1"/>
  <c r="N26" i="27"/>
  <c r="O26" s="1"/>
  <c r="U26"/>
  <c r="M26"/>
  <c r="N106"/>
  <c r="O106" s="1"/>
  <c r="P106"/>
  <c r="U106"/>
  <c r="M106"/>
  <c r="M25"/>
  <c r="U25" s="1"/>
  <c r="N25"/>
  <c r="O25" s="1"/>
  <c r="L52" i="51"/>
  <c r="M50"/>
  <c r="M52" s="1"/>
  <c r="P58" i="27"/>
  <c r="N58"/>
  <c r="O58" s="1"/>
  <c r="M58"/>
  <c r="Q42"/>
  <c r="U42" s="1"/>
  <c r="L55" i="51"/>
  <c r="M53"/>
  <c r="M37"/>
  <c r="U35"/>
  <c r="U37" s="1"/>
  <c r="Q46" i="27"/>
  <c r="U46" s="1"/>
  <c r="P32"/>
  <c r="N32"/>
  <c r="O32" s="1"/>
  <c r="M32"/>
  <c r="U50" i="51"/>
  <c r="U52" s="1"/>
  <c r="U141" i="27"/>
  <c r="O18" i="51"/>
  <c r="U26"/>
  <c r="U27" s="1"/>
  <c r="U38"/>
  <c r="U40" s="1"/>
  <c r="I18"/>
  <c r="U4"/>
  <c r="U6" s="1"/>
  <c r="U58" i="27" l="1"/>
  <c r="U55"/>
  <c r="M44" i="51"/>
  <c r="M46" s="1"/>
  <c r="L46"/>
  <c r="M55"/>
  <c r="U53"/>
  <c r="U55" s="1"/>
  <c r="V56" i="28"/>
  <c r="U41" i="51"/>
  <c r="U43" s="1"/>
  <c r="N18"/>
  <c r="L18"/>
  <c r="U32" i="27"/>
  <c r="U29"/>
  <c r="U18" i="51"/>
  <c r="M18"/>
  <c r="U44"/>
  <c r="U46" s="1"/>
</calcChain>
</file>

<file path=xl/sharedStrings.xml><?xml version="1.0" encoding="utf-8"?>
<sst xmlns="http://schemas.openxmlformats.org/spreadsheetml/2006/main" count="1421" uniqueCount="511">
  <si>
    <t>OBSERVAÇÔES IMPORTANTES</t>
  </si>
  <si>
    <t xml:space="preserve">Valor a deduzir na devolução de custas:                      </t>
  </si>
  <si>
    <t>Conv</t>
  </si>
  <si>
    <t>TOTAL</t>
  </si>
  <si>
    <t>EMOL</t>
  </si>
  <si>
    <t>Atos Comuns</t>
  </si>
  <si>
    <t>ATOS</t>
  </si>
  <si>
    <t>Do Registro Civil das Pessoas Jurídicas</t>
  </si>
  <si>
    <t>Dos Ofícios e Atos do Registro de Imóveis.</t>
  </si>
  <si>
    <t>Dos Ofícios e Atos de Notas</t>
  </si>
  <si>
    <t>Do Registro de Títulos e Documentos</t>
  </si>
  <si>
    <t>TABELA - EXTRA</t>
  </si>
  <si>
    <t>Dos Tabelionatos de Protestos de Títulos</t>
  </si>
  <si>
    <t>Custas</t>
  </si>
  <si>
    <r>
      <t xml:space="preserve">2 - </t>
    </r>
    <r>
      <rPr>
        <b/>
        <sz val="11"/>
        <rFont val="Arial"/>
        <family val="2"/>
      </rPr>
      <t>Certidões extraídas de livros</t>
    </r>
    <r>
      <rPr>
        <sz val="11"/>
        <rFont val="Arial"/>
        <family val="2"/>
      </rPr>
      <t xml:space="preserve">, assentamentos ou outros papéis arquivados, de atos ou de fatos conhecidos em razão do ofício, qualquer que seja, além da busca, devendo cada página conter o mínimo de 30 (trinta) linhas: por folha - </t>
    </r>
    <r>
      <rPr>
        <b/>
        <i/>
        <sz val="11"/>
        <rFont val="Arial"/>
        <family val="2"/>
      </rPr>
      <t>Prenotação</t>
    </r>
  </si>
  <si>
    <t xml:space="preserve"> - -</t>
  </si>
  <si>
    <t xml:space="preserve"> - - </t>
  </si>
  <si>
    <r>
      <t xml:space="preserve">4 - </t>
    </r>
    <r>
      <rPr>
        <b/>
        <sz val="11"/>
        <rFont val="Arial"/>
        <family val="2"/>
      </rPr>
      <t>Registro de livros de contabilidade</t>
    </r>
    <r>
      <rPr>
        <sz val="11"/>
        <rFont val="Arial"/>
        <family val="2"/>
      </rPr>
      <t xml:space="preserve"> ou de atos das sociedades civis, associações e fundações</t>
    </r>
  </si>
  <si>
    <r>
      <t xml:space="preserve">1 - </t>
    </r>
    <r>
      <rPr>
        <b/>
        <sz val="11"/>
        <rFont val="Arial"/>
        <family val="2"/>
      </rPr>
      <t>Protocolização</t>
    </r>
    <r>
      <rPr>
        <sz val="11"/>
        <rFont val="Arial"/>
        <family val="2"/>
      </rPr>
      <t>, protesto de títulos ou de qualquer outro documento de dívida, e lavratura do respectivo instrumento, sobre o valor declarado:</t>
    </r>
  </si>
  <si>
    <r>
      <t>Acoterj-RJ  -  (</t>
    </r>
    <r>
      <rPr>
        <sz val="11"/>
        <rFont val="Arial"/>
        <family val="2"/>
      </rPr>
      <t>Lei 590/82</t>
    </r>
    <r>
      <rPr>
        <b/>
        <sz val="11"/>
        <rFont val="Arial"/>
        <family val="2"/>
      </rPr>
      <t>)</t>
    </r>
  </si>
  <si>
    <t>Outros Valores Para Complementação das Tabelas</t>
  </si>
  <si>
    <r>
      <t>Mútua dos Magistrados   -   (</t>
    </r>
    <r>
      <rPr>
        <sz val="11"/>
        <rFont val="Arial"/>
        <family val="2"/>
      </rPr>
      <t>Lei 489/81 e 3761/02</t>
    </r>
    <r>
      <rPr>
        <b/>
        <sz val="11"/>
        <rFont val="Arial"/>
        <family val="2"/>
      </rPr>
      <t>)</t>
    </r>
  </si>
  <si>
    <t>UFIR   ATUAL</t>
  </si>
  <si>
    <t>Lei nº 3217/99 - 20% para FETJ</t>
  </si>
  <si>
    <t>Lei nº 4664/05 - 5% para o FUNDPERJ e LC 111/06 -FUNPERJ</t>
  </si>
  <si>
    <t>De R$</t>
  </si>
  <si>
    <t>Até R$</t>
  </si>
  <si>
    <t>C</t>
  </si>
  <si>
    <t>DE</t>
  </si>
  <si>
    <t>CÓD</t>
  </si>
  <si>
    <t>Revalidação</t>
  </si>
  <si>
    <t>FAIXA</t>
  </si>
  <si>
    <t>Dist</t>
  </si>
  <si>
    <t>Tabela</t>
  </si>
  <si>
    <t>-</t>
  </si>
  <si>
    <t>VEJA EXEMPLOS NO SITE DA CORREGEDORIA  -  http://cgj.tjrj.jus.br/ (Opção - simulaçao de emolumentos)</t>
  </si>
  <si>
    <t>Obs. 2 - A Distribuição ocorrerá Para Títulos Judiciais e Instr. Particulares, com transferência de domínio, extensível a procurações, e Escrituras Lavradas em outro Município</t>
  </si>
  <si>
    <t>DIST</t>
  </si>
  <si>
    <r>
      <t>Nome Excedente (</t>
    </r>
    <r>
      <rPr>
        <sz val="11"/>
        <rFont val="Arial"/>
        <family val="2"/>
      </rPr>
      <t>Tab. 4 + 20% + 5%+5%+4%)</t>
    </r>
  </si>
  <si>
    <r>
      <t xml:space="preserve">1 - </t>
    </r>
    <r>
      <rPr>
        <b/>
        <sz val="11"/>
        <rFont val="Arial"/>
        <family val="2"/>
      </rPr>
      <t>Buscas</t>
    </r>
    <r>
      <rPr>
        <sz val="11"/>
        <rFont val="Arial"/>
        <family val="2"/>
      </rPr>
      <t xml:space="preserve"> em livros ou papéis, qualquer que seja o número de livros ou série de livros nelas compreendidas, ou de papéis arquivados, relativas a nome ou imóvel, por assunto, cada cinco anos ou </t>
    </r>
    <r>
      <rPr>
        <b/>
        <sz val="11"/>
        <rFont val="Arial"/>
        <family val="2"/>
      </rPr>
      <t>fração</t>
    </r>
  </si>
  <si>
    <t>3 - Aposição de visto em certidão, ou informação verbal, solicitada pessoalmente, ou por qualquer outro meio, pelo interessado: valor correspondente à 50% (cinquenta por cento) do valor de uma certidão</t>
  </si>
  <si>
    <r>
      <t>4 - Arquivamento/</t>
    </r>
    <r>
      <rPr>
        <b/>
        <sz val="11"/>
        <rFont val="Arial"/>
        <family val="2"/>
      </rPr>
      <t>Desarquivamento</t>
    </r>
    <r>
      <rPr>
        <sz val="11"/>
        <rFont val="Arial"/>
        <family val="2"/>
      </rPr>
      <t xml:space="preserve"> de livros, processos ou papéis:</t>
    </r>
  </si>
  <si>
    <r>
      <t xml:space="preserve">5 - Expedição e emissão de </t>
    </r>
    <r>
      <rPr>
        <b/>
        <sz val="11"/>
        <rFont val="Arial"/>
        <family val="2"/>
      </rPr>
      <t>guias</t>
    </r>
    <r>
      <rPr>
        <sz val="11"/>
        <rFont val="Arial"/>
        <family val="2"/>
      </rPr>
      <t xml:space="preserve"> e comunicações exigidas por lei, Atos Normativos, Resoluções, Portarias e Consolidação Normativa</t>
    </r>
  </si>
  <si>
    <r>
      <t xml:space="preserve">6- </t>
    </r>
    <r>
      <rPr>
        <b/>
        <sz val="11"/>
        <rFont val="Arial"/>
        <family val="2"/>
      </rPr>
      <t>Notificação</t>
    </r>
    <r>
      <rPr>
        <sz val="11"/>
        <rFont val="Arial"/>
        <family val="2"/>
      </rPr>
      <t xml:space="preserve"> ou </t>
    </r>
    <r>
      <rPr>
        <b/>
        <sz val="11"/>
        <rFont val="Arial"/>
        <family val="2"/>
      </rPr>
      <t>Intimação</t>
    </r>
    <r>
      <rPr>
        <sz val="11"/>
        <rFont val="Arial"/>
        <family val="2"/>
      </rPr>
      <t>, por pessoa</t>
    </r>
  </si>
  <si>
    <t>1 - Registro e averbações de sociedade simples, cooperativas, não empresários (até 4 pg)</t>
  </si>
  <si>
    <r>
      <t xml:space="preserve">3 - </t>
    </r>
    <r>
      <rPr>
        <b/>
        <sz val="11"/>
        <rFont val="Arial"/>
        <family val="2"/>
      </rPr>
      <t>Registro e averbações de matrícula</t>
    </r>
    <r>
      <rPr>
        <sz val="11"/>
        <rFont val="Arial"/>
        <family val="2"/>
      </rPr>
      <t xml:space="preserve"> das oficinas impressoras, dos jornais e outros periódicos</t>
    </r>
  </si>
  <si>
    <t>5 - Registro de Livro Digital</t>
  </si>
  <si>
    <t>6 - Certidões (até 4 páginas)</t>
  </si>
  <si>
    <t>7 - Busca prévia , por nome</t>
  </si>
  <si>
    <t>9 - Página excedente - para os itens 1,2 e 6</t>
  </si>
  <si>
    <t>10 - Via adicional (até 4 páginas)</t>
  </si>
  <si>
    <t>Por página excedente</t>
  </si>
  <si>
    <t>8 - Apresentação do título para exame da legalidade ou cálculo de emolumentos s/ prenotação</t>
  </si>
  <si>
    <t>1 - Registros em Geral</t>
  </si>
  <si>
    <t xml:space="preserve">A </t>
  </si>
  <si>
    <t>a</t>
  </si>
  <si>
    <t>B</t>
  </si>
  <si>
    <t>D</t>
  </si>
  <si>
    <t>E</t>
  </si>
  <si>
    <t>F</t>
  </si>
  <si>
    <t>Acima de 100.000,00</t>
  </si>
  <si>
    <t>2 - Registro e averbaçoes de Associações, Organizações Religiosas, Partidos Políticos, Sindicatos, Fundações e averbações de ME/EPP (Instrumento até 12 pg)</t>
  </si>
  <si>
    <t>SEM VALOR DECLARADO</t>
  </si>
  <si>
    <t>TABELA 5.2 (Tabela 20.2 - Lei 6370)</t>
  </si>
  <si>
    <t>Registro do Memorial de Incorporação e Instituição de Condomínio</t>
  </si>
  <si>
    <t>100,001,01</t>
  </si>
  <si>
    <t>TABELA 5.3 (Tabela 20.3 - Lei 6370)</t>
  </si>
  <si>
    <t>Averbação com Conteúdo Econômico</t>
  </si>
  <si>
    <t>Outros Atos de Registro de Imóveis</t>
  </si>
  <si>
    <t>TABELA 5.4 (Tabela 20.4 - Lei 6370)</t>
  </si>
  <si>
    <t>2 - Averbação  de Desmembramento e Remembramento de imóveis</t>
  </si>
  <si>
    <t>3 - Certidão de Prenotação</t>
  </si>
  <si>
    <t>4 - Intimaçaõ do promissário-comprador de loteamento</t>
  </si>
  <si>
    <t>5 - Registro da Convenção de Condomínio</t>
  </si>
  <si>
    <t>b) por unidade que acrescer</t>
  </si>
  <si>
    <t>a) Pela primeira unidade</t>
  </si>
  <si>
    <t>c) por remissão nas matrículas</t>
  </si>
  <si>
    <t>6 -  Certidão de ônus e Vintenária - independente do nº de páginas, inclusive buscas</t>
  </si>
  <si>
    <t>7 - Recebimento de prestação do art. 38 da lei 6.766/79</t>
  </si>
  <si>
    <t>a) pelo primeiro recebimento e abertura de conta</t>
  </si>
  <si>
    <t>b) pelo recebimento de cada prestação seguinte</t>
  </si>
  <si>
    <t>8 - Alienação Fiduciária de Imóvel:</t>
  </si>
  <si>
    <t>a) Intimação para constituição em mora</t>
  </si>
  <si>
    <t>b) Intimação por pessoa a mais,além da primeira</t>
  </si>
  <si>
    <t>c) expedição de edital - além do custo da publicação</t>
  </si>
  <si>
    <t>d) recebimento de valore repasse ao credor</t>
  </si>
  <si>
    <t>9 - Processamento de retificação, incluídas as diligências</t>
  </si>
  <si>
    <t>a) na hipótese do artigo 213,II, da LRP</t>
  </si>
  <si>
    <t>a.1) averbação, incluídos todos os procedimentos</t>
  </si>
  <si>
    <t>a.2) notificação pessoal de confrontante (§2º do art. 213, II da LRP</t>
  </si>
  <si>
    <t>a.3) expedição de edital -  hipótese do § 3º in fine do art. 213 da LRP</t>
  </si>
  <si>
    <t>b) Nas hipóteses doartigo 213, I, b,c,d,e, f, g da LRP</t>
  </si>
  <si>
    <t>c) Nas demais hipóteses  de retificação</t>
  </si>
  <si>
    <t>a) por página execedente a terceira</t>
  </si>
  <si>
    <t>b) por correio eletrônico ou similar sem limitação de pagina</t>
  </si>
  <si>
    <t>TABELA 07 (Tabela 22 da Lei 6370)</t>
  </si>
  <si>
    <t>1 - Escritura com valor declarado (lavratura e traslado)</t>
  </si>
  <si>
    <t>1.2 - ESCRITURA SEM VALOR DECLARADO</t>
  </si>
  <si>
    <t>a) Reconhecimento de Paternidade, Fins Previdenciário, União Estável, Declaratória e Rerratificação</t>
  </si>
  <si>
    <t>b) Separação Consensual, Conversão em Divórcio e Inventário Negativo</t>
  </si>
  <si>
    <t>1.3 - Escrituras de Quitação e Rescisão (1/6 do item 1)</t>
  </si>
  <si>
    <t>a) Mínimo</t>
  </si>
  <si>
    <t>1.4 - Escritura de Convenção de Condomínio</t>
  </si>
  <si>
    <t>2 - Procuração, revogação ou substabelecimento</t>
  </si>
  <si>
    <t>a) para fins exclusivamente previdenciários</t>
  </si>
  <si>
    <t>b) sobre bens móveis ou imóveis e valores em geral</t>
  </si>
  <si>
    <t>c) em causa própria (igual item 1)</t>
  </si>
  <si>
    <t>d) outras hipóteses</t>
  </si>
  <si>
    <t>2.1 - Por outorgante excedente a 3</t>
  </si>
  <si>
    <t>3 - Reconhecimento de firma</t>
  </si>
  <si>
    <t>a) Por autenticidade</t>
  </si>
  <si>
    <t>b) Por semelhança ou chancela</t>
  </si>
  <si>
    <t>c) Abertura de Firma</t>
  </si>
  <si>
    <t>4 - Autenticação por documento ou página</t>
  </si>
  <si>
    <t>5 -Testamento</t>
  </si>
  <si>
    <t>I - Cerrado</t>
  </si>
  <si>
    <t>a) aprovação</t>
  </si>
  <si>
    <t>b) se escrito por tabelião a rogo do testador</t>
  </si>
  <si>
    <t>II - Público</t>
  </si>
  <si>
    <t>a) Apenas para dispor de montepio ou peculio</t>
  </si>
  <si>
    <t>b) Apenas para revogação</t>
  </si>
  <si>
    <t>6 - Ata notarial sem conteúdo econômico (pela primeira folha)</t>
  </si>
  <si>
    <t>a) por página excedente</t>
  </si>
  <si>
    <t>Obs. 3 - Emissão de Guia de Comunicação</t>
  </si>
  <si>
    <r>
      <t xml:space="preserve"> --- </t>
    </r>
    <r>
      <rPr>
        <b/>
        <i/>
        <sz val="11"/>
        <rFont val="Arial"/>
        <family val="2"/>
      </rPr>
      <t>Expedição de Guias</t>
    </r>
    <r>
      <rPr>
        <i/>
        <sz val="11"/>
        <rFont val="Arial"/>
        <family val="2"/>
      </rPr>
      <t xml:space="preserve"> de Comunicaçao            </t>
    </r>
  </si>
  <si>
    <t xml:space="preserve"> ---  Observação 7 - Isenção de 20%, 5%, 4% e Mútua, se 1ª Aquisição ou Cooperativa - e imóvel destinado a residência)</t>
  </si>
  <si>
    <t>TABELA 09 ( Tabela 24 - Lei 6370)</t>
  </si>
  <si>
    <t xml:space="preserve">                  ATOS                                                        </t>
  </si>
  <si>
    <t>ATÈ</t>
  </si>
  <si>
    <t>A</t>
  </si>
  <si>
    <t>G</t>
  </si>
  <si>
    <t>H</t>
  </si>
  <si>
    <t>I</t>
  </si>
  <si>
    <t>J</t>
  </si>
  <si>
    <t>K</t>
  </si>
  <si>
    <t>L</t>
  </si>
  <si>
    <t>M</t>
  </si>
  <si>
    <t>N</t>
  </si>
  <si>
    <t>O</t>
  </si>
  <si>
    <t>P</t>
  </si>
  <si>
    <t>Q</t>
  </si>
  <si>
    <t>R</t>
  </si>
  <si>
    <t>S</t>
  </si>
  <si>
    <t>T</t>
  </si>
  <si>
    <t>U</t>
  </si>
  <si>
    <t>V</t>
  </si>
  <si>
    <t>W</t>
  </si>
  <si>
    <t>X</t>
  </si>
  <si>
    <t>Y</t>
  </si>
  <si>
    <t>Z</t>
  </si>
  <si>
    <t>Acima de 10000</t>
  </si>
  <si>
    <t>2 - Cancelamento do protesto ou averbação da sustação definitiva</t>
  </si>
  <si>
    <t>3 - Certidão sob a forma de relação para as entidades de crédito</t>
  </si>
  <si>
    <t>3.2 - A cada nome e documento do protesto ou do cancelamento</t>
  </si>
  <si>
    <t>Por página excedente a 4</t>
  </si>
  <si>
    <t>Por Via Excedente</t>
  </si>
  <si>
    <t>2 - Registro do DUT ou sucedâneos</t>
  </si>
  <si>
    <t>4 - Registro de Mídia de documentos digitalizados até 5 GB, para efeito de conservação e prova dos originais (LRP arts 127, VII c/c 142 e 161 + art 41 da Lei 8.935/94)</t>
  </si>
  <si>
    <t>Por página excedente a 15</t>
  </si>
  <si>
    <t>6 - Registro de documentos recepcionados por meio eletrônico, excluindo-se os atos do item 1</t>
  </si>
  <si>
    <t>Para fins de conservação - até 4 páginas</t>
  </si>
  <si>
    <t>7 - Registro de Editais de Licitações, inclusive respectivas propostas e demais atos</t>
  </si>
  <si>
    <t>c) Acima do limite da Tomada de Preços (concorrência)</t>
  </si>
  <si>
    <t>9 - Das Notificações</t>
  </si>
  <si>
    <t>9.2 - Registro de Notificação, recepcionado por meio eletrônico, por destinatário, incluindo certidão à margem do registro do contrato, nas hipóteses de alienação fiduciária, arrendamento mercantil (leasing), compra com reserva de domínio e penhor mercantil de bens móveis</t>
  </si>
  <si>
    <t>a) Por página excedente</t>
  </si>
  <si>
    <t xml:space="preserve">a) Por página excedente a 4 </t>
  </si>
  <si>
    <t>b) Por diligência pessoal,jaté o máixmo de 3, mediante pedido justificado do notificante</t>
  </si>
  <si>
    <t>10 - Digitalização de documentos para exclusivos fins de arquivo</t>
  </si>
  <si>
    <t>a) por página excedente a 10</t>
  </si>
  <si>
    <t>11 - Remessa certificada de arquivos eletrônicos sob forma eletrônica, através de Sistema gerido pelo IRTDPJ-RJ, incluídas a busca e certidão correspondentes</t>
  </si>
  <si>
    <t>b) Por Página Excedente</t>
  </si>
  <si>
    <t>12 - Autenticação de microfilme e disco ótico, em CD, DVD e análogos</t>
  </si>
  <si>
    <t>a) Busca e Certidão de cópia exgtraída dessas mídias até 2 páginas</t>
  </si>
  <si>
    <t>b) Por página excedente</t>
  </si>
  <si>
    <t>c) Autenticação de cópia extraída de microfilme, por página</t>
  </si>
  <si>
    <t>a) Até 2 páginas</t>
  </si>
  <si>
    <r>
      <rPr>
        <b/>
        <sz val="11"/>
        <rFont val="Arial"/>
        <family val="2"/>
      </rPr>
      <t>Obs. 1</t>
    </r>
    <r>
      <rPr>
        <sz val="11"/>
        <rFont val="Arial"/>
        <family val="2"/>
      </rPr>
      <t>- Nos contratos de Prazo Indeterminado, com obrigaçao de pagamento em prestação, considerar-se-á o valor de uma ANUIDADE, para fins de cálculo  dos emolumentos, segundo item 1, I acima.</t>
    </r>
  </si>
  <si>
    <r>
      <rPr>
        <b/>
        <sz val="11"/>
        <rFont val="Arial"/>
        <family val="2"/>
      </rPr>
      <t>Obs. 3</t>
    </r>
    <r>
      <rPr>
        <sz val="11"/>
        <rFont val="Arial"/>
        <family val="2"/>
      </rPr>
      <t xml:space="preserve"> - A tabela acima e os valores nela previstos são aplicáveis aos títulos de procedência estrangeira</t>
    </r>
  </si>
  <si>
    <t>FAIXAS</t>
  </si>
  <si>
    <t>2%             (6370/12)</t>
  </si>
  <si>
    <t>20%                (3217/99)</t>
  </si>
  <si>
    <t>5% (111/06)</t>
  </si>
  <si>
    <t>Mutua (3761/02)</t>
  </si>
  <si>
    <t>Acoterj (590/82)</t>
  </si>
  <si>
    <t>R$   0,01 –  50,00</t>
  </si>
  <si>
    <t>R$ 50,01 –  100,00</t>
  </si>
  <si>
    <t>R$ 100,01 – 150,00</t>
  </si>
  <si>
    <t>R$ 150,01 – 200,00</t>
  </si>
  <si>
    <t>R$ 200,01 – 250,00</t>
  </si>
  <si>
    <t>R$ 250,01 – 300,00</t>
  </si>
  <si>
    <t>R$ 300,01 – 350,00</t>
  </si>
  <si>
    <t>R$ 350,01 – 400,00</t>
  </si>
  <si>
    <t>R$ 400,01 – 450,00</t>
  </si>
  <si>
    <t>R$ 450,01 – 500,00</t>
  </si>
  <si>
    <t>R$ 500,01 – 600,00</t>
  </si>
  <si>
    <t>R$ 600,01 – 700,00</t>
  </si>
  <si>
    <t>R$ 700,01 – 800,00</t>
  </si>
  <si>
    <t>R$ 800,01 – 900,00</t>
  </si>
  <si>
    <t>R$ 900,01 – 1.000,00</t>
  </si>
  <si>
    <t>R$ 1.000,01 – 1.500,00</t>
  </si>
  <si>
    <t>R$ 1.500,01 – 2.000,00</t>
  </si>
  <si>
    <t>R$ 2.000,01 – 2.500,00</t>
  </si>
  <si>
    <t>R$ 2.500,01 – 3.000,00</t>
  </si>
  <si>
    <t>R$ 3.000,01 – 3.500,00</t>
  </si>
  <si>
    <t>R$ 3.500,01 – 4.000,00</t>
  </si>
  <si>
    <t>R$ 4.000,01 – 4.500,00</t>
  </si>
  <si>
    <t>R$ 4.500,01 – 5.000,00</t>
  </si>
  <si>
    <t>R$ 5.000,01 – 7.500,00</t>
  </si>
  <si>
    <t>R$ 7.500,01 – 10.000,00</t>
  </si>
  <si>
    <t>Acima de R$ 10.000,00</t>
  </si>
  <si>
    <t>ATO</t>
  </si>
  <si>
    <t>Cancelamento</t>
  </si>
  <si>
    <t>Certidão Serasa (Capa)</t>
  </si>
  <si>
    <t>Por Nome Serasa</t>
  </si>
  <si>
    <t>Emissão de Guia</t>
  </si>
  <si>
    <t>**</t>
  </si>
  <si>
    <t>Certidão 5 anos</t>
  </si>
  <si>
    <t>Certidão 10 anos</t>
  </si>
  <si>
    <t>Prot</t>
  </si>
  <si>
    <r>
      <t>Distribuidor*</t>
    </r>
    <r>
      <rPr>
        <sz val="10"/>
        <rFont val="Arial"/>
        <family val="2"/>
      </rPr>
      <t xml:space="preserve">  -  (Tab. 4 item 1 + 20% (FETJ) + 5% (FUNDPERJ ) + 5% (FUNPERJ)+4% FUNARPEN</t>
    </r>
  </si>
  <si>
    <t>b) Nas hipóteses do artigo 213, I, b,c,d,e, f, g da LRP</t>
  </si>
  <si>
    <t>a) por página excedente a terceira</t>
  </si>
  <si>
    <t>10 - Intimações,notificação e comunicações em geral, por pessoa, fora das hipóteses acima</t>
  </si>
  <si>
    <t>EMOL =</t>
  </si>
  <si>
    <t>+ Cancelamento da Prenotação</t>
  </si>
  <si>
    <t>+ Buscas por Imovel + BIB + Distrib (se houver)</t>
  </si>
  <si>
    <t>LEI 11.441/07 - SEPARAÇÃO, DIVORCIO E PARTILHA (COM BENS)</t>
  </si>
  <si>
    <t>- Valor Minimo - 1 bem até 15.000,00</t>
  </si>
  <si>
    <t>a) Reconhecimento de Paternidade, Fins Previdenciários, União Estável, Declaratória e Rerratificação</t>
  </si>
  <si>
    <r>
      <t>D)</t>
    </r>
    <r>
      <rPr>
        <sz val="9"/>
        <rFont val="Arial"/>
        <family val="2"/>
      </rPr>
      <t xml:space="preserve"> Nas partilhas de </t>
    </r>
    <r>
      <rPr>
        <b/>
        <sz val="9"/>
        <rFont val="Arial"/>
        <family val="2"/>
      </rPr>
      <t>BENS IMÓVEIS</t>
    </r>
    <r>
      <rPr>
        <sz val="9"/>
        <rFont val="Arial"/>
        <family val="2"/>
      </rPr>
      <t xml:space="preserve">, os emolumentos serão cobrados pelo somatório obtido das faixas de cada imóvel, até o teto máximo </t>
    </r>
    <r>
      <rPr>
        <b/>
        <sz val="9"/>
        <color indexed="10"/>
        <rFont val="Arial"/>
        <family val="2"/>
      </rPr>
      <t>,</t>
    </r>
    <r>
      <rPr>
        <sz val="9"/>
        <rFont val="Arial"/>
        <family val="2"/>
      </rPr>
      <t xml:space="preserve"> na forma do item "A" acima, considerando-se o montante dos bens da escritura como único ato (1 selo e 1 mútua)</t>
    </r>
  </si>
  <si>
    <r>
      <t>C)</t>
    </r>
    <r>
      <rPr>
        <sz val="9"/>
        <rFont val="Arial"/>
        <family val="2"/>
      </rPr>
      <t xml:space="preserve"> Nas partilhas de </t>
    </r>
    <r>
      <rPr>
        <b/>
        <sz val="9"/>
        <rFont val="Arial"/>
        <family val="2"/>
      </rPr>
      <t>BENS MÓVEIS</t>
    </r>
    <r>
      <rPr>
        <sz val="9"/>
        <rFont val="Arial"/>
        <family val="2"/>
      </rPr>
      <t>, os emolumentos serão calculados pelo somatório do valor dos bens,  até o teto máximo . observado o item "A" acima, considerando-se o montante de bens da escritura como único ato (1 selo e 1 Mútua).</t>
    </r>
  </si>
  <si>
    <r>
      <rPr>
        <b/>
        <sz val="10"/>
        <rFont val="Arial"/>
        <family val="2"/>
      </rPr>
      <t>Obs. 3</t>
    </r>
    <r>
      <rPr>
        <sz val="10"/>
        <rFont val="Arial"/>
        <family val="2"/>
      </rPr>
      <t xml:space="preserve"> - A tabela acima e os valores nela previstos são aplicáveis aos títulos de procedência estrangeira</t>
    </r>
  </si>
  <si>
    <t>TABELA 9 - PROTESTO DE TÍTULOS</t>
  </si>
  <si>
    <t>Arquiv.</t>
  </si>
  <si>
    <t>Guias</t>
  </si>
  <si>
    <t>5 - Simples custódia temporária de documentos digitalizados para fins de eventual registro ou certificação (até 15 páginas)</t>
  </si>
  <si>
    <t>TAB. 2</t>
  </si>
  <si>
    <t>1-1</t>
  </si>
  <si>
    <t>1-5</t>
  </si>
  <si>
    <t>Guia</t>
  </si>
  <si>
    <t>SUB-TOTAL</t>
  </si>
  <si>
    <r>
      <t>1 -</t>
    </r>
    <r>
      <rPr>
        <b/>
        <u/>
        <sz val="11"/>
        <color indexed="10"/>
        <rFont val="Arial"/>
        <family val="2"/>
      </rPr>
      <t xml:space="preserve"> Averbações</t>
    </r>
    <r>
      <rPr>
        <sz val="11"/>
        <rFont val="Arial"/>
        <family val="2"/>
      </rPr>
      <t xml:space="preserve"> de sociedade simples, cooperativas, não empresários (até 4 paginas)</t>
    </r>
  </si>
  <si>
    <r>
      <t xml:space="preserve">1 - </t>
    </r>
    <r>
      <rPr>
        <b/>
        <u/>
        <sz val="11"/>
        <color indexed="10"/>
        <rFont val="Arial"/>
        <family val="2"/>
      </rPr>
      <t xml:space="preserve">Registro </t>
    </r>
    <r>
      <rPr>
        <sz val="11"/>
        <rFont val="Arial"/>
        <family val="2"/>
      </rPr>
      <t>de sociedade simples, cooperativas, não empresários (até 4 paginas)</t>
    </r>
  </si>
  <si>
    <r>
      <t xml:space="preserve">2 - </t>
    </r>
    <r>
      <rPr>
        <b/>
        <u/>
        <sz val="11"/>
        <color indexed="10"/>
        <rFont val="Arial"/>
        <family val="2"/>
      </rPr>
      <t>Registro</t>
    </r>
    <r>
      <rPr>
        <sz val="11"/>
        <rFont val="Arial"/>
        <family val="2"/>
      </rPr>
      <t xml:space="preserve"> de Associações, Organizações Religiosas, Partidos Políticos, Sindicatos, Fundações e averbações de ME/EPP (Instrumento até 12 páginas)</t>
    </r>
  </si>
  <si>
    <r>
      <t xml:space="preserve">2 - </t>
    </r>
    <r>
      <rPr>
        <b/>
        <u/>
        <sz val="11"/>
        <color indexed="10"/>
        <rFont val="Arial"/>
        <family val="2"/>
      </rPr>
      <t>Averbações</t>
    </r>
    <r>
      <rPr>
        <sz val="11"/>
        <rFont val="Arial"/>
        <family val="2"/>
      </rPr>
      <t xml:space="preserve"> de Associações, Organizações Religiosas, Partidos Políticos, Sindicatos, Fundações e averbações de ME/EPP (Instrumento até 12 páginas)</t>
    </r>
  </si>
  <si>
    <t>*** art. 852, § 2º - CN-CGJ- A parte interessada terá 30 dias, a partir da exigência, para cumprí-la ou desistir do pedido sob pena de cancelamento da prenotação</t>
  </si>
  <si>
    <t>1) Os emolumentos previstos na presente Tabela não sofrerão acréscimo dos previstos na Tabela dos Atos Comuns ou de qualquer outra, EXCETO expedição de guias e buscas.
2) As buscas previstas na Tabela 01, item 1, aplicam-se à localização de pessoas jurídicas em arquivos e livros eletrônicos.
3) A cobrança dos emolumentos pela prática do ato previsto no item nº 05 desta Tabela somente poderá ocorrer após a regulamentação da matéria pela Corregedoria Geral da Justiça.
4) As despesas postais e de publicação, previstas nos arts. 39 da Lei nº 3.350/99 e 8º da Lei nº 6.370/12, serão reembolsadas, embora não constituam emolumentos.
5) Nos registros estabelecidos nos itens nºs. 01, 02 e 06, ultrapassado o número de folhas em cada caso, será cobrado, por página excedente, os emolumentos previstos no item nº 9</t>
  </si>
  <si>
    <t>---</t>
  </si>
  <si>
    <t>b) até o limite de valor da Tomada de Preços</t>
  </si>
  <si>
    <t>a) até o limite de valor da Carta Convite</t>
  </si>
  <si>
    <t xml:space="preserve">Buscas cada 5 anos       </t>
  </si>
  <si>
    <t>Emol</t>
  </si>
  <si>
    <t>Pela Certidão da Prenotação</t>
  </si>
  <si>
    <t>Tab 1.4</t>
  </si>
  <si>
    <t>Tab 1.5</t>
  </si>
  <si>
    <t>Se houver mais de 3 unidades, por unidade que exceder</t>
  </si>
  <si>
    <t>Tab 1-5</t>
  </si>
  <si>
    <t>Sub-total</t>
  </si>
  <si>
    <t>4% 6281/12</t>
  </si>
  <si>
    <t>Mutua  3761/02</t>
  </si>
  <si>
    <t>20%                3217/99</t>
  </si>
  <si>
    <t>5%   4664/05</t>
  </si>
  <si>
    <t>5% 111/06</t>
  </si>
  <si>
    <t>- Tabela nº 10 - Registro de Títulos e Documentos (ou Tab. 25 da Lei nº 3.350/99)</t>
  </si>
  <si>
    <t>3 - Registro de Declarações Unilaterais de Vontade, declaração de posse, de cremação, modelos de contrato, Regimentos Escolares,CTPS e demais documentos de relaçao de emprego, documentos comprobatórios do recolhimento de tributos e contribuições, inclusive FGTS</t>
  </si>
  <si>
    <t>Por página excedente a 10</t>
  </si>
  <si>
    <t>9.1 - Registro, por destinatário,  de Notificação, Interpelações, Intimações, Avisos, Denúncias e demais Atos de Participação ou ciência - até 4 páginas, incluida a certidão</t>
  </si>
  <si>
    <t>9.3 - Recepção de notificação, em meio eletrônico, para cumprimento em meio eletrônico, incluindo o respectivo Registro e Certidão</t>
  </si>
  <si>
    <t>a) Certidões impressas em papel até 2 páginas, inclusve busca da Remessa Certificada</t>
  </si>
  <si>
    <t>d) Autenticação de cópia extraída de disco ótico ou semelhante, por página</t>
  </si>
  <si>
    <r>
      <rPr>
        <b/>
        <sz val="10"/>
        <rFont val="Arial"/>
        <family val="2"/>
      </rPr>
      <t>Obs. 1</t>
    </r>
    <r>
      <rPr>
        <sz val="10"/>
        <rFont val="Arial"/>
        <family val="2"/>
      </rPr>
      <t>- Nos contratos de Prazo Indeterminado, com obrigação de pagamento em prestação, considerar-se-á o valor de uma ANUIDADE, para fins de cálculo  dos emolumentos, segundo item 1, I acima.</t>
    </r>
  </si>
  <si>
    <t>b) Por diligência pessoal,jaté o máximo de 4, mediante pedido justificado do notificante</t>
  </si>
  <si>
    <t>4 - Intimação do promissário-comprador de loteamento</t>
  </si>
  <si>
    <t>d) recebimento do valor e repasse ao credor</t>
  </si>
  <si>
    <t>9-1</t>
  </si>
  <si>
    <t>9-2</t>
  </si>
  <si>
    <t>9-3.1</t>
  </si>
  <si>
    <t>9-3.2</t>
  </si>
  <si>
    <t>1-3</t>
  </si>
  <si>
    <t>1-2</t>
  </si>
  <si>
    <t>2xTb 1-1; 1xtb 1-2</t>
  </si>
  <si>
    <t>Tb 1-1,2,4</t>
  </si>
  <si>
    <t>2xTb 1-1; Tb 1-2,4</t>
  </si>
  <si>
    <t>2xTb 1-1;Tb  1-2,4</t>
  </si>
  <si>
    <t>Tb 1-1,2</t>
  </si>
  <si>
    <t>C. Ato de Cancelamento</t>
  </si>
  <si>
    <t>C. Específica 10 anos</t>
  </si>
  <si>
    <t>C. Específica 5 anos</t>
  </si>
  <si>
    <t xml:space="preserve">C. Inteiro teor 10 anos </t>
  </si>
  <si>
    <t>C. Inteiro teor 5 anos</t>
  </si>
  <si>
    <t>Tab. 1 - 2</t>
  </si>
  <si>
    <t>2%             (6370/12</t>
  </si>
  <si>
    <t>20%                (3217/99</t>
  </si>
  <si>
    <t>5% (4664/05</t>
  </si>
  <si>
    <t>4% (6281/12</t>
  </si>
  <si>
    <t>Mutua (3761/02</t>
  </si>
  <si>
    <t xml:space="preserve">CERTIDÂO </t>
  </si>
  <si>
    <t>Item 1 (busca), item 2 (Extração), item 5 (Desarquivamento)</t>
  </si>
  <si>
    <t>Certidão Complemento (EXC)</t>
  </si>
  <si>
    <t>1 - 4</t>
  </si>
  <si>
    <t>Busca Verbal/Mon</t>
  </si>
  <si>
    <t>Acoterj (590/82</t>
  </si>
  <si>
    <t>5-3</t>
  </si>
  <si>
    <t>C.Pren</t>
  </si>
  <si>
    <t>Arquiv</t>
  </si>
  <si>
    <t>Arq</t>
  </si>
  <si>
    <t>13 - Cerridões extraídas de registros ou papéis arquivados</t>
  </si>
  <si>
    <t>13 - Certidões extraídas de registros ou papéis arquivados</t>
  </si>
  <si>
    <t>Acima de 400.000,00</t>
  </si>
  <si>
    <t>Acima de 1.000.000,00</t>
  </si>
  <si>
    <t>1a - Averbação sem conteúdo econômico</t>
  </si>
  <si>
    <t>Certidões outras - por folha - (Tab. 1-2)</t>
  </si>
  <si>
    <t>b) Por diligência pessoal, até o máximo de 4, mediante pedido justificado do notificante</t>
  </si>
  <si>
    <t>1.1 - Escritura de Instituição,Discriminação e Divisão de Condomínio (Até 10 unidades)</t>
  </si>
  <si>
    <t>TABELA 01 (Tabela 16 - Lei 6370)</t>
  </si>
  <si>
    <t>Atos COMUNS</t>
  </si>
  <si>
    <t>Bus</t>
  </si>
  <si>
    <t>Cert</t>
  </si>
  <si>
    <t>Desistência</t>
  </si>
  <si>
    <t>Quitação (pagos)</t>
  </si>
  <si>
    <t>varia</t>
  </si>
  <si>
    <t>COM VALOR DECLARADO (ESCRITURA DO CARTORIO)</t>
  </si>
  <si>
    <t>(Proc. CGJ 2013-0092797-DORJ de 04.06.2013 - pg. 81)</t>
  </si>
  <si>
    <t>COM VALOR DECLARADO (COM 50% - PMCMV) -1 ato</t>
  </si>
  <si>
    <t>Por unidade Excedente</t>
  </si>
  <si>
    <t>Obs. 2 - O Valor dos emolumentos das averbações corresponderá À METADE (50%) do valor previsto para o registro objetivado.</t>
  </si>
  <si>
    <t>11 - Apresentação de título para exame de legalidade ou cálculo de emolumentos sem prenotação</t>
  </si>
  <si>
    <t xml:space="preserve">TABELA 5.1 (Tabela 20.1 - Lei 6370) </t>
  </si>
  <si>
    <t xml:space="preserve">Obs. 4 - Cobrança de DOI em escritura, mesmo que conste EMITIDA DOI: IN-RFB-1.112/2010 e IN-RFB 1.193/2011, DOU de 16.09.2011-Receita Federal - </t>
  </si>
  <si>
    <t xml:space="preserve">Obs. 6 - Atos de Averbação com CONTEÚDO ECONÔMICO - Vide AVISO CGJ nº 384/2013, publicado no DORJ de 20/03/2013, entre eles: Construção, Consolidação da Propriedade, Renúncia de Usufruto, </t>
  </si>
  <si>
    <t>Por unidade excedente</t>
  </si>
  <si>
    <t>- Valor Minimo - 1 bem até R$ 15.000,00</t>
  </si>
  <si>
    <t>1 - Escritura com valor declarado</t>
  </si>
  <si>
    <t>b) Separação Consensual, Conversão em Divórcio Direto (Lei 11.441/07)</t>
  </si>
  <si>
    <r>
      <t>Obs. 2 - O Valor dos emolumentos das averbações</t>
    </r>
    <r>
      <rPr>
        <b/>
        <sz val="10"/>
        <color indexed="10"/>
        <rFont val="Arial"/>
        <family val="2"/>
      </rPr>
      <t xml:space="preserve"> </t>
    </r>
    <r>
      <rPr>
        <b/>
        <sz val="10"/>
        <rFont val="Arial"/>
        <family val="2"/>
      </rPr>
      <t>corresponderá À METADE (50%) do valor previsto para o registro objetivado.</t>
    </r>
  </si>
  <si>
    <r>
      <t>Averbação com Conteúdo Econômico                                                                   (</t>
    </r>
    <r>
      <rPr>
        <b/>
        <sz val="11"/>
        <color indexed="10"/>
        <rFont val="Arial"/>
        <family val="2"/>
      </rPr>
      <t>SE CONSTANTE DE ESCRITURA DE OUTRO MUNICÍPIO)</t>
    </r>
  </si>
  <si>
    <r>
      <t>Obs. 4</t>
    </r>
    <r>
      <rPr>
        <sz val="10"/>
        <rFont val="Arial"/>
      </rPr>
      <t xml:space="preserve"> - ( * ) Certidão - cobrar da Tabela 1 (ou 16) as buscas referentes às frações correspondentes a cada 5 anos</t>
    </r>
  </si>
  <si>
    <r>
      <t xml:space="preserve">a) Até 2 páginas </t>
    </r>
    <r>
      <rPr>
        <b/>
        <sz val="10"/>
        <color indexed="10"/>
        <rFont val="Arial"/>
        <family val="2"/>
      </rPr>
      <t>( * )</t>
    </r>
  </si>
  <si>
    <t xml:space="preserve">Obs. 3 -Aviso 704/2005 (DOE 28/12/05, pág.43/44 ) -Proc. 2004/236531-CGJ -Não há REDUÇÃO de emolumentos quando tratar-se de  instrumento particular de CV com alienação fiduciária pelo SFI (Lei 9.514/97), mas incide se for SFH (mesmo que contrato c/ alienação fiduciária), sendo de 50% (art. 290-lei 6.015). Se 1ª Aquisição - ISENÇÂO 20%, 5%, 4% e Mútua/Acoterj (Lei 3.350/99 - art. 44) </t>
  </si>
  <si>
    <t>Valor MáximoTotal  a ser cobrado na escritura (art. 1º § 3º Portaria)</t>
  </si>
  <si>
    <t>- Valor Máximo - Mais de um bem - Para atender art. 21 Port, valor EMOL não ultrapassar</t>
  </si>
  <si>
    <t>3.1 - Pela certidão fornecida a cada entidade, independente do número de páginas</t>
  </si>
  <si>
    <t>Obs. 4 - Quando for primeira aquisição - SFH - 50% dos emolumentos, e não incidirão Fundos e Mútua/Acoterj</t>
  </si>
  <si>
    <t>Obs.2 - O valor máximo dos emolumentos não pode ultrapassar a Metade do valor da Taxa Judiciária Máxima</t>
  </si>
  <si>
    <t>Obs.1 - A cada 100.000,00, acrescentar</t>
  </si>
  <si>
    <r>
      <t xml:space="preserve">Obs. 2 - O valor máximo dos emolumentos não poderá ultrapassar </t>
    </r>
    <r>
      <rPr>
        <b/>
        <sz val="10"/>
        <rFont val="Arial"/>
        <family val="2"/>
      </rPr>
      <t>4x o valor</t>
    </r>
    <r>
      <rPr>
        <sz val="10"/>
        <rFont val="Arial"/>
        <family val="2"/>
      </rPr>
      <t xml:space="preserve"> da Taxa Judiciária Máxima</t>
    </r>
  </si>
  <si>
    <t>Mutua</t>
  </si>
  <si>
    <t>Acoterj</t>
  </si>
  <si>
    <t xml:space="preserve">  6370/12</t>
  </si>
  <si>
    <t xml:space="preserve">  3217/99</t>
  </si>
  <si>
    <t>4664/05</t>
  </si>
  <si>
    <t>111/06</t>
  </si>
  <si>
    <t xml:space="preserve"> 3761/02</t>
  </si>
  <si>
    <t xml:space="preserve"> 590/82</t>
  </si>
  <si>
    <t>6281/12</t>
  </si>
  <si>
    <t xml:space="preserve"> 4664/05</t>
  </si>
  <si>
    <t>6370/12</t>
  </si>
  <si>
    <t>3761/02</t>
  </si>
  <si>
    <t xml:space="preserve">Acoterj </t>
  </si>
  <si>
    <t>590/82</t>
  </si>
  <si>
    <t>3217/99</t>
  </si>
  <si>
    <t>6 - Ata notarial sem conteúdo econômico (pela 1a. folha)</t>
  </si>
  <si>
    <r>
      <t xml:space="preserve">1 - Busca em livros ou papéis, qualquer que seja o número de livros ou série de livros nelas compreendidas, ou de papéis arquivados, relativas a nome ou imóvel, por assunto, </t>
    </r>
    <r>
      <rPr>
        <b/>
        <u/>
        <sz val="10"/>
        <rFont val="Arial"/>
        <family val="2"/>
      </rPr>
      <t>cada cinco anos ou fração</t>
    </r>
    <r>
      <rPr>
        <sz val="10"/>
        <rFont val="Arial"/>
        <family val="2"/>
      </rPr>
      <t>.</t>
    </r>
  </si>
  <si>
    <r>
      <t xml:space="preserve">2 - Certidões extraídas de livros, assentamentos ou outros papéis arquivados, de atos ou de fatos conhecidos em razão do ofício, qualquer que seja, além da busca, devendo cada página conter até 30 linhas: </t>
    </r>
    <r>
      <rPr>
        <b/>
        <u/>
        <sz val="10"/>
        <rFont val="Arial"/>
        <family val="2"/>
      </rPr>
      <t>por folha</t>
    </r>
  </si>
  <si>
    <t>Obs. 7 - Valor do BIB --------------------</t>
  </si>
  <si>
    <t>Tabela 4 - item 5</t>
  </si>
  <si>
    <t>DISTRIBUIÇÂO DE NOTIFICAÇÂO</t>
  </si>
  <si>
    <t>NOME EXCEDENTE (Quando houver)</t>
  </si>
  <si>
    <r>
      <t xml:space="preserve">Distribuidor* NOTIFICAÇÂO </t>
    </r>
    <r>
      <rPr>
        <sz val="10"/>
        <rFont val="Arial"/>
        <family val="2"/>
      </rPr>
      <t>(Tab. 4 item 5 + 20% + 5% + 5% + 4¨%)</t>
    </r>
  </si>
  <si>
    <t>Ato</t>
  </si>
  <si>
    <t>Certidão Complemento - Folha Excedente - Tab. 1 - item 2</t>
  </si>
  <si>
    <t>1 - Registro, arquivamento de contrato, averbação, anotação ou remissão à margem de registro</t>
  </si>
  <si>
    <t>I - COM VALOR DECLARADO, até R$ 70.000,00, até 5 páginas</t>
  </si>
  <si>
    <t>a)</t>
  </si>
  <si>
    <t>1% do valor declarado</t>
  </si>
  <si>
    <t xml:space="preserve">MINIMO </t>
  </si>
  <si>
    <t>MAXIMO</t>
  </si>
  <si>
    <t>II - COM VALOR DECLARADO ACIMA  DE R$ 70.000,00</t>
  </si>
  <si>
    <t>b)</t>
  </si>
  <si>
    <t>c)</t>
  </si>
  <si>
    <t>e)</t>
  </si>
  <si>
    <t>SEM VALOR DECLARADO (inclusive Atas), até 5 páginas</t>
  </si>
  <si>
    <t>a)          MAIS</t>
  </si>
  <si>
    <t>Por página excedente a 5</t>
  </si>
  <si>
    <t>III -</t>
  </si>
  <si>
    <t>a) Por página excedente a 5</t>
  </si>
  <si>
    <t>III  - Sem Valor Declarado (inclusive Atas) - até 5 páginas</t>
  </si>
  <si>
    <t>Via excedente, com valor declarado</t>
  </si>
  <si>
    <t>1 - Registro , arquivamento de contrato, averbação,</t>
  </si>
  <si>
    <t>anotação ou remissão à margem de registro</t>
  </si>
  <si>
    <t>II - Com Valor Declarado - Acima de R$ 70.000,00</t>
  </si>
  <si>
    <t>a) De 70.000,01 a 80.000,00</t>
  </si>
  <si>
    <t>b) De 80.000,01 a 90.000,00</t>
  </si>
  <si>
    <t>c) De 90.000,01 a 100.000,00</t>
  </si>
  <si>
    <t>d) De 100.000,01 a 150.000,00</t>
  </si>
  <si>
    <t>e) De 150.000,01 a 200.000,00</t>
  </si>
  <si>
    <t>I - COM VALOR DECLARADO ATÉ R$ 70.000,00, até 5 páginas</t>
  </si>
  <si>
    <t>Cobrar MAIS 1% do valor declarado, sendo</t>
  </si>
  <si>
    <t>a) MÍNIMO</t>
  </si>
  <si>
    <t>b) MÁXIMO</t>
  </si>
  <si>
    <t>CóD</t>
  </si>
  <si>
    <t>+</t>
  </si>
  <si>
    <r>
      <t xml:space="preserve">9.1 - Registro, por destinatário, </t>
    </r>
    <r>
      <rPr>
        <b/>
        <sz val="10"/>
        <rFont val="Arial"/>
        <family val="2"/>
      </rPr>
      <t xml:space="preserve"> de Notificação,</t>
    </r>
    <r>
      <rPr>
        <sz val="10"/>
        <rFont val="Arial"/>
        <family val="2"/>
      </rPr>
      <t xml:space="preserve"> Interpelações, Intimações, Avisos, Denúncias e demais Atos de Participação ou ciência - até 4 páginas, incluida a certidão</t>
    </r>
  </si>
  <si>
    <r>
      <t xml:space="preserve">9.2 - </t>
    </r>
    <r>
      <rPr>
        <b/>
        <sz val="10"/>
        <rFont val="Arial"/>
        <family val="2"/>
      </rPr>
      <t>Registro de Notificação</t>
    </r>
    <r>
      <rPr>
        <sz val="10"/>
        <rFont val="Arial"/>
        <family val="2"/>
      </rPr>
      <t>, recepcionado por meio eletrônico, por destinatário, incluindo certidão à margem do registro do contrato, nas hipóteses de alienação fiduciária, arrendamento mercantil (leasing), compra com reserva de domínio e penhor mercantil de bens móveis</t>
    </r>
  </si>
  <si>
    <t>2 Atos com Valor (Ex. CV+Alienação)</t>
  </si>
  <si>
    <t>1º Ato</t>
  </si>
  <si>
    <t>2º Ato</t>
  </si>
  <si>
    <t>EXC</t>
  </si>
  <si>
    <t>2 Atos - CV + Rerra</t>
  </si>
  <si>
    <t>1º Ato Com valor</t>
  </si>
  <si>
    <t>2º Ato Sem valor</t>
  </si>
  <si>
    <t>BIB</t>
  </si>
  <si>
    <t>7) Ata Notarial c/Conteudo Econômico (= item 1 acima)</t>
  </si>
  <si>
    <r>
      <t>B)</t>
    </r>
    <r>
      <rPr>
        <sz val="9"/>
        <rFont val="Arial"/>
        <family val="2"/>
      </rPr>
      <t xml:space="preserve"> Seja qual for o nº de bens na partilha, teremos 1 ato, 1 Selo e 1 Mútua. </t>
    </r>
  </si>
  <si>
    <t>(Valor total - Emolumentos+Adicionais-Mútua-2%) não poderá ultrapassar) - Art. 21 da Portaria</t>
  </si>
  <si>
    <r>
      <t>A)</t>
    </r>
    <r>
      <rPr>
        <sz val="9"/>
        <rFont val="Arial"/>
        <family val="2"/>
      </rPr>
      <t xml:space="preserve"> O teto (Valor Máximo) a ser cobrado pelos atos da Lei 11441/2007 inclui os emolumentos e todos os acréscimos legais (inclusive Distribuidor), exceto Mútua + Acoterj  + BIB</t>
    </r>
  </si>
  <si>
    <t>b) Por Via excedente, sem valor declarado</t>
  </si>
  <si>
    <t>Tabela 4-item 1a</t>
  </si>
  <si>
    <t>Tabela 4-item 1b</t>
  </si>
  <si>
    <r>
      <t>Fora do Expediente - (</t>
    </r>
    <r>
      <rPr>
        <sz val="11"/>
        <rFont val="Arial"/>
        <family val="2"/>
      </rPr>
      <t>só para Notas - Em testamento)</t>
    </r>
  </si>
  <si>
    <r>
      <t>Fora do Cartório - (</t>
    </r>
    <r>
      <rPr>
        <sz val="11"/>
        <rFont val="Arial"/>
        <family val="2"/>
      </rPr>
      <t>só para Notas -  Em Ata Notarial</t>
    </r>
    <r>
      <rPr>
        <b/>
        <sz val="11"/>
        <rFont val="Arial"/>
        <family val="2"/>
      </rPr>
      <t>) - Com valor - 50% do item I</t>
    </r>
  </si>
  <si>
    <r>
      <t>Fora do Cartório - (</t>
    </r>
    <r>
      <rPr>
        <sz val="11"/>
        <rFont val="Arial"/>
        <family val="2"/>
      </rPr>
      <t>só para Notas -  Em Ata Notarial</t>
    </r>
    <r>
      <rPr>
        <b/>
        <sz val="11"/>
        <rFont val="Arial"/>
        <family val="2"/>
      </rPr>
      <t>) - Sem valor</t>
    </r>
  </si>
  <si>
    <t>5%     (4664/05)</t>
  </si>
  <si>
    <t>5%    (4664/05)</t>
  </si>
  <si>
    <t>4%     (6281/12)</t>
  </si>
  <si>
    <t>DIST POR ATO</t>
  </si>
  <si>
    <t>TABELA 10 (Tabela 25 da Lei 6370/12)</t>
  </si>
  <si>
    <r>
      <t xml:space="preserve">* CÁLCULO DISTRIBUIDOR E EXCEDENTE </t>
    </r>
    <r>
      <rPr>
        <b/>
        <sz val="9"/>
        <rFont val="Arial"/>
        <family val="2"/>
      </rPr>
      <t>(Tab. 4 ou Tab. 19 da Lei 6370/12)</t>
    </r>
  </si>
  <si>
    <t>TABELA 01 (Tabela 16 da Lei 6370/12)</t>
  </si>
  <si>
    <t>TABELA 02 (Tabela 17 da Lei 6370/12)</t>
  </si>
  <si>
    <t>TABELA 5.1 (Tabela 20.1 - da Lei 6370)</t>
  </si>
  <si>
    <t>TABELA 5.2 (Tabela 20.2 da Lei 6370)</t>
  </si>
  <si>
    <t>TABELA 5.3 (Tabela 20.3 da Lei 6370)</t>
  </si>
  <si>
    <t>TABELA 5.4 (Tabela 20.4 da Lei 6370)</t>
  </si>
  <si>
    <t>a) Pelo Procedimento</t>
  </si>
  <si>
    <t>b) Por notificação/intimação</t>
  </si>
  <si>
    <t>c) Pela confecção do Edital</t>
  </si>
  <si>
    <t>d) Pelo Registro</t>
  </si>
  <si>
    <t>COM VALOR DECLARADO</t>
  </si>
  <si>
    <t>d) Pelo Registro  (Aplicar Emolumentos Previstos na Tabela 5.1  ou 20.1)</t>
  </si>
  <si>
    <t>ver Tab. 5.1</t>
  </si>
  <si>
    <r>
      <t xml:space="preserve">1 - </t>
    </r>
    <r>
      <rPr>
        <b/>
        <sz val="11"/>
        <rFont val="Arial"/>
        <family val="2"/>
      </rPr>
      <t>Averbações sem conteúdo econômico</t>
    </r>
    <r>
      <rPr>
        <sz val="11"/>
        <rFont val="Arial"/>
        <family val="2"/>
      </rPr>
      <t>, cancelamento de prenotação, cancelamento em geral, incluindo buscas</t>
    </r>
  </si>
  <si>
    <t>12 - Reconhecimento Extrajudicial de usucapião:</t>
  </si>
  <si>
    <t>b) Por Notificação/Intimação</t>
  </si>
  <si>
    <t>c) Pela Confecção do Edital</t>
  </si>
  <si>
    <t>c) Pela Confecção de Edital</t>
  </si>
  <si>
    <t>8) Homologação de Penhor Legal</t>
  </si>
  <si>
    <t>a) Pelo Processamento</t>
  </si>
  <si>
    <t>d) Pela Escritura de Formalização do Penhor Legal</t>
  </si>
  <si>
    <t>9) Materialização de Documento Eletrônico - Por página</t>
  </si>
  <si>
    <r>
      <rPr>
        <b/>
        <sz val="11"/>
        <rFont val="Arial"/>
        <family val="2"/>
      </rPr>
      <t>7 - Ata Notarial com Conteudo Econõmico</t>
    </r>
    <r>
      <rPr>
        <sz val="11"/>
        <rFont val="Arial"/>
        <family val="2"/>
      </rPr>
      <t xml:space="preserve"> (igual item 1 acima)</t>
    </r>
  </si>
  <si>
    <t>8 - Homologação de Penhor Legal</t>
  </si>
  <si>
    <t>b) Por notificação/Intimação</t>
  </si>
  <si>
    <t>9) Materialização de Doc. Eletrônico - Por Página</t>
  </si>
  <si>
    <t>OBSERVAÇÕES IMPORTANTES SOBRE APLICAÇÃO DA LEI 11.441/07</t>
  </si>
  <si>
    <t>(Lei 7.128/15)</t>
  </si>
  <si>
    <t>Obs.1 - A partir de 400.000,01, a cada 100.000,00 (com incidência dos 2% da lei 6.370/2012), cobrar</t>
  </si>
  <si>
    <t>Obs.1 - A partir de R$ 1.000.000,01, a cada 100.000,00 (com incidência dos 2% da lei 6.370/2012) cobrar</t>
  </si>
  <si>
    <r>
      <t>Valor do BIB (</t>
    </r>
    <r>
      <rPr>
        <sz val="11"/>
        <rFont val="Arial"/>
        <family val="2"/>
      </rPr>
      <t>art. 19 da Portaria</t>
    </r>
    <r>
      <rPr>
        <b/>
        <sz val="11"/>
        <rFont val="Arial"/>
        <family val="2"/>
      </rPr>
      <t>)</t>
    </r>
  </si>
  <si>
    <t>Lei</t>
  </si>
  <si>
    <t>7128/15</t>
  </si>
  <si>
    <r>
      <t xml:space="preserve">1c - Averbações </t>
    </r>
    <r>
      <rPr>
        <b/>
        <sz val="11"/>
        <rFont val="Arial"/>
        <family val="2"/>
      </rPr>
      <t>sem conteúdo econômico</t>
    </r>
    <r>
      <rPr>
        <sz val="11"/>
        <rFont val="Arial"/>
        <family val="2"/>
      </rPr>
      <t>, (Se Escritura de Outro Município) + Pacto Antenupcial</t>
    </r>
  </si>
  <si>
    <t>9 - Processamento de retificação, incluídas diligências</t>
  </si>
  <si>
    <t>Obs.:1 -(*) COBRADAS 2 GUIAS - Distribuidor + DOI. Pode-se cobrar ainda pela Comunicação a Outra Serventia + INCRA + Prefeitura</t>
  </si>
  <si>
    <t>Guia *</t>
  </si>
  <si>
    <t>COM VALOR DECLARADO (INST.PARTIC, TIT. JUDICIAL,     ESCRITURA DE OUTRO MUNICIPIO)</t>
  </si>
  <si>
    <t>COM VALOR DECLARADO (1a. AQUISIÇÃO)</t>
  </si>
  <si>
    <t>Registro do Mem. de Incorporação e Instit. de Condomínio</t>
  </si>
  <si>
    <t>( * )</t>
  </si>
  <si>
    <t>Obs. 5 - Cobrança Distribuidor em Escritura de Outro Município - Provimento 58/2012 - DOE de 08.10.12 - Consolidação Normativa 701 - § 1º.   Deve-se observar que há alteração na cobrança de custas tanto nos Registros de Escrituras (Exemplo: Compra e Venda; Alienação Fiduciária, Inventário, Pacto no livro 3), quanto nas Averbações constantes de Escrituras (Exemplo: Rerra - Aditamento, Pacto etc) oriundas de outro município.</t>
  </si>
  <si>
    <t xml:space="preserve">f) </t>
  </si>
  <si>
    <t>Por página excedente a 5, com valor acima de R$ 70.000,00</t>
  </si>
  <si>
    <t>g)</t>
  </si>
  <si>
    <t>GUIAS - PODEM SER COBRADAS PARA DOI - DISTRIBUIDOR, CENSEC, Confirmação p/RGI, IBGE, Prefeitura e Junta Comercial (Aviso 1963/2014-Procuração), onde couber.</t>
  </si>
  <si>
    <t>Tabela 7 - Tabelionato de Notas (Tabela 22 -Lei nº 6.370)</t>
  </si>
  <si>
    <t>Tabela 7 - Tabelionato de Notas (Tabela 22 - Lei nº 6.370)</t>
  </si>
  <si>
    <t>- Tabela nº 05 - Registro de Imóveis (Tabela 20 da Lei nº 6.370)</t>
  </si>
  <si>
    <t xml:space="preserve">- Tabela nº 2 - Registro Civil das Pessoas Jurídicas (Tabela 17 da Lei nº 6.370) </t>
  </si>
  <si>
    <r>
      <t xml:space="preserve">g) Por Via Excedente  </t>
    </r>
    <r>
      <rPr>
        <sz val="10"/>
        <color indexed="60"/>
        <rFont val="Arial"/>
        <family val="2"/>
      </rPr>
      <t>(será renumerado - Lei 7.128/15)</t>
    </r>
  </si>
  <si>
    <r>
      <t xml:space="preserve">f) Por página excedente a 5 </t>
    </r>
    <r>
      <rPr>
        <sz val="10"/>
        <color indexed="60"/>
        <rFont val="Arial"/>
        <family val="2"/>
      </rPr>
      <t>(renumerado - Lei 7.128/15)</t>
    </r>
  </si>
  <si>
    <t>TOTAL (S/ISS)</t>
  </si>
  <si>
    <r>
      <t>1b -</t>
    </r>
    <r>
      <rPr>
        <b/>
        <sz val="11"/>
        <rFont val="Arial"/>
        <family val="2"/>
      </rPr>
      <t>Cancelamento de prenotação, cancelamento</t>
    </r>
    <r>
      <rPr>
        <sz val="11"/>
        <rFont val="Arial"/>
        <family val="2"/>
      </rPr>
      <t xml:space="preserve"> em geral, incluindo buscas</t>
    </r>
  </si>
  <si>
    <t>5 - Registro de Livro Digital (aguardar regulam. CGJ)</t>
  </si>
  <si>
    <t>Lei 6281/12 - 4% para a FUNARPEN</t>
  </si>
  <si>
    <t>Sub-total I</t>
  </si>
  <si>
    <t>Sub Total II</t>
  </si>
  <si>
    <t>- Valor Máximo - SubTotal II não pode ultrapassar  ................</t>
  </si>
  <si>
    <t>ISS</t>
  </si>
  <si>
    <t>Lei Municipal (ISS)</t>
  </si>
  <si>
    <t xml:space="preserve">TOTAL </t>
  </si>
  <si>
    <t/>
  </si>
  <si>
    <t>I S S</t>
  </si>
  <si>
    <t>v tab. 5-1</t>
  </si>
  <si>
    <t>c) Escritura de Inventário Negativo  (Lei 11.441/07)</t>
  </si>
  <si>
    <t>Lei 11.441/07 - Separação, Divórcio e Partilha (c/bens) -  ver Item 1</t>
  </si>
  <si>
    <t>A partir de 200.000,01, a cada 100.000,00 cobrar Mais</t>
  </si>
  <si>
    <t>Após  - A cada 100.000,00 (com incidência dos 2% da lei 6.370/2012 sobre o valor de )</t>
  </si>
  <si>
    <t>Acot</t>
  </si>
  <si>
    <t>Valor Máximo Total dos Emolumentos na escritura NÃO PODE ultrapassar valor da Taxa Judiciária Máxima, de:</t>
  </si>
  <si>
    <t>Obs.1 - A partir de 400.000,01, a cada 100.000,00 (com incidência dos 2% da lei 6.370/2012)</t>
  </si>
  <si>
    <t xml:space="preserve">12-Reconhecimento Extrajudicial de Usucapião  </t>
  </si>
  <si>
    <t>Após 400.000,00 - A cada 100.000,00</t>
  </si>
  <si>
    <t>3. Informação Verbal  e Matrícula On ilne (Pesquisa de Bens ARIRJ)              (Prov. CGJRJ nº 45/2017 - Art. 7º)</t>
  </si>
  <si>
    <t>PORTARIA n.º 3210/2017</t>
  </si>
  <si>
    <t xml:space="preserve">DORJ, de 28/12/2017 </t>
  </si>
  <si>
    <t>Obs. 2 - O valor máximo dos emolumentos não pode ultrapassar o valor da Taxa Judiciária Máxima, art 1º §3º</t>
  </si>
  <si>
    <t>Após  - A partir de 400.000,01, a cada 100.000,00 (com incidência dos 2% da lei 6.370/2012). Obs: 20.</t>
  </si>
  <si>
    <t>Obs.11 - A partir de 200.000,01, a cada 100.000,00 (com incidência dos 2% da lei 6.370/2012), cobrar mais</t>
  </si>
  <si>
    <t>2 folhas: 147,10</t>
  </si>
  <si>
    <t>6 - Certidão de ônus e Vintenária - independente do nº de páginas, inclusive buscas (73,39+12,07)</t>
  </si>
</sst>
</file>

<file path=xl/styles.xml><?xml version="1.0" encoding="utf-8"?>
<styleSheet xmlns="http://schemas.openxmlformats.org/spreadsheetml/2006/main">
  <numFmts count="10">
    <numFmt numFmtId="43" formatCode="_-* #,##0.00_-;\-* #,##0.00_-;_-* &quot;-&quot;??_-;_-@_-"/>
    <numFmt numFmtId="164" formatCode="_(* #,##0.00_);_(* \(#,##0.00\);_(* &quot;-&quot;??_);_(@_)"/>
    <numFmt numFmtId="165" formatCode="0.000"/>
    <numFmt numFmtId="166" formatCode="0.0000"/>
    <numFmt numFmtId="167" formatCode="0.0000000"/>
    <numFmt numFmtId="168" formatCode="00"/>
    <numFmt numFmtId="169" formatCode="_([$€-2]* #,##0.00_);_([$€-2]* \(#,##0.00\);_([$€-2]* &quot;-&quot;??_)"/>
    <numFmt numFmtId="170" formatCode="\-\-\-"/>
    <numFmt numFmtId="171" formatCode="\-\-\-\-"/>
    <numFmt numFmtId="172" formatCode="&quot;R$&quot;\ #,##0.00"/>
  </numFmts>
  <fonts count="76">
    <font>
      <sz val="10"/>
      <name val="Arial"/>
    </font>
    <font>
      <sz val="10"/>
      <name val="Arial"/>
    </font>
    <font>
      <b/>
      <sz val="10"/>
      <name val="Arial"/>
      <family val="2"/>
    </font>
    <font>
      <b/>
      <sz val="10"/>
      <name val="Arial"/>
      <family val="2"/>
    </font>
    <font>
      <sz val="10"/>
      <name val="Arial"/>
      <family val="2"/>
    </font>
    <font>
      <sz val="9"/>
      <name val="Arial"/>
      <family val="2"/>
    </font>
    <font>
      <b/>
      <sz val="9"/>
      <name val="Arial"/>
      <family val="2"/>
    </font>
    <font>
      <sz val="11"/>
      <name val="Arial"/>
      <family val="2"/>
    </font>
    <font>
      <b/>
      <sz val="11"/>
      <name val="Arial"/>
      <family val="2"/>
    </font>
    <font>
      <i/>
      <sz val="11"/>
      <name val="Arial"/>
      <family val="2"/>
    </font>
    <font>
      <b/>
      <i/>
      <sz val="11"/>
      <name val="Arial"/>
      <family val="2"/>
    </font>
    <font>
      <b/>
      <sz val="11"/>
      <color indexed="10"/>
      <name val="Arial"/>
      <family val="2"/>
    </font>
    <font>
      <b/>
      <sz val="11"/>
      <name val="Times New Roman"/>
      <family val="1"/>
    </font>
    <font>
      <b/>
      <sz val="12"/>
      <name val="Arial"/>
      <family val="2"/>
    </font>
    <font>
      <b/>
      <sz val="14"/>
      <name val="Arial"/>
      <family val="2"/>
    </font>
    <font>
      <sz val="8"/>
      <name val="Arial"/>
      <family val="2"/>
    </font>
    <font>
      <sz val="10"/>
      <color indexed="10"/>
      <name val="Arial"/>
      <family val="2"/>
    </font>
    <font>
      <sz val="9"/>
      <name val="Arial"/>
      <family val="2"/>
    </font>
    <font>
      <b/>
      <sz val="9"/>
      <name val="Arial"/>
      <family val="2"/>
    </font>
    <font>
      <b/>
      <sz val="9"/>
      <color indexed="10"/>
      <name val="Arial"/>
      <family val="2"/>
    </font>
    <font>
      <b/>
      <u/>
      <sz val="11"/>
      <name val="Arial"/>
      <family val="2"/>
    </font>
    <font>
      <b/>
      <sz val="8"/>
      <color indexed="10"/>
      <name val="Arial"/>
      <family val="2"/>
    </font>
    <font>
      <b/>
      <sz val="8"/>
      <name val="Arial"/>
      <family val="2"/>
    </font>
    <font>
      <sz val="8"/>
      <name val="Arial"/>
      <family val="2"/>
    </font>
    <font>
      <b/>
      <sz val="11"/>
      <color indexed="12"/>
      <name val="Arial"/>
      <family val="2"/>
    </font>
    <font>
      <b/>
      <sz val="5"/>
      <name val="Times New Roman"/>
      <family val="1"/>
    </font>
    <font>
      <b/>
      <u/>
      <sz val="10"/>
      <name val="Arial"/>
      <family val="2"/>
    </font>
    <font>
      <b/>
      <sz val="9"/>
      <color indexed="10"/>
      <name val="Arial"/>
      <family val="2"/>
    </font>
    <font>
      <b/>
      <sz val="8"/>
      <name val="Arial"/>
      <family val="2"/>
    </font>
    <font>
      <b/>
      <sz val="9"/>
      <color indexed="12"/>
      <name val="Arial"/>
      <family val="2"/>
    </font>
    <font>
      <b/>
      <sz val="8"/>
      <color indexed="12"/>
      <name val="Arial"/>
      <family val="2"/>
    </font>
    <font>
      <b/>
      <sz val="16"/>
      <color indexed="10"/>
      <name val="Arial"/>
      <family val="2"/>
    </font>
    <font>
      <b/>
      <sz val="12"/>
      <color indexed="10"/>
      <name val="Arial"/>
      <family val="2"/>
    </font>
    <font>
      <b/>
      <sz val="10"/>
      <color indexed="12"/>
      <name val="Arial"/>
      <family val="2"/>
    </font>
    <font>
      <sz val="9.5"/>
      <name val="Arial"/>
      <family val="2"/>
    </font>
    <font>
      <b/>
      <sz val="11"/>
      <color indexed="8"/>
      <name val="Calibri"/>
      <family val="2"/>
    </font>
    <font>
      <b/>
      <sz val="11"/>
      <color indexed="60"/>
      <name val="Calibri"/>
      <family val="2"/>
    </font>
    <font>
      <b/>
      <sz val="14"/>
      <color indexed="8"/>
      <name val="Calibri"/>
      <family val="2"/>
    </font>
    <font>
      <sz val="12"/>
      <name val="Arial"/>
      <family val="2"/>
    </font>
    <font>
      <b/>
      <u/>
      <sz val="11"/>
      <color indexed="10"/>
      <name val="Arial"/>
      <family val="2"/>
    </font>
    <font>
      <b/>
      <sz val="9"/>
      <color indexed="8"/>
      <name val="Calibri"/>
      <family val="2"/>
    </font>
    <font>
      <b/>
      <sz val="9"/>
      <name val="Calibri"/>
      <family val="2"/>
    </font>
    <font>
      <b/>
      <sz val="12"/>
      <color indexed="8"/>
      <name val="Calibri"/>
      <family val="2"/>
    </font>
    <font>
      <b/>
      <sz val="11"/>
      <color indexed="10"/>
      <name val="Arial"/>
      <family val="2"/>
    </font>
    <font>
      <sz val="11"/>
      <color indexed="10"/>
      <name val="Arial"/>
      <family val="2"/>
    </font>
    <font>
      <u/>
      <sz val="11"/>
      <color indexed="10"/>
      <name val="Arial"/>
      <family val="2"/>
    </font>
    <font>
      <b/>
      <sz val="12"/>
      <color indexed="10"/>
      <name val="Arial"/>
      <family val="2"/>
    </font>
    <font>
      <sz val="9"/>
      <color indexed="10"/>
      <name val="Arial"/>
      <family val="2"/>
    </font>
    <font>
      <b/>
      <sz val="10"/>
      <color indexed="10"/>
      <name val="Arial"/>
      <family val="2"/>
    </font>
    <font>
      <b/>
      <sz val="10"/>
      <color indexed="60"/>
      <name val="Calibri"/>
      <family val="2"/>
    </font>
    <font>
      <b/>
      <sz val="10"/>
      <color indexed="8"/>
      <name val="Calibri"/>
      <family val="2"/>
    </font>
    <font>
      <sz val="10"/>
      <name val="Arial"/>
      <family val="2"/>
    </font>
    <font>
      <b/>
      <sz val="16"/>
      <color indexed="8"/>
      <name val="Calibri"/>
      <family val="2"/>
    </font>
    <font>
      <b/>
      <i/>
      <sz val="11"/>
      <color indexed="10"/>
      <name val="Arial"/>
      <family val="2"/>
    </font>
    <font>
      <b/>
      <sz val="10"/>
      <color indexed="10"/>
      <name val="Arial"/>
      <family val="2"/>
    </font>
    <font>
      <sz val="9"/>
      <color indexed="8"/>
      <name val="Calibri"/>
      <family val="2"/>
    </font>
    <font>
      <b/>
      <sz val="9"/>
      <name val="Arial"/>
      <family val="2"/>
    </font>
    <font>
      <b/>
      <u/>
      <sz val="9"/>
      <name val="Arial"/>
      <family val="2"/>
    </font>
    <font>
      <sz val="9"/>
      <name val="Arial"/>
      <family val="2"/>
    </font>
    <font>
      <b/>
      <sz val="13"/>
      <name val="Arial"/>
      <family val="2"/>
    </font>
    <font>
      <b/>
      <sz val="11"/>
      <color indexed="10"/>
      <name val="Arial"/>
      <family val="2"/>
    </font>
    <font>
      <b/>
      <sz val="12"/>
      <color indexed="10"/>
      <name val="Arial"/>
      <family val="2"/>
    </font>
    <font>
      <sz val="10"/>
      <color indexed="60"/>
      <name val="Arial"/>
      <family val="2"/>
    </font>
    <font>
      <u/>
      <sz val="10"/>
      <color indexed="10"/>
      <name val="Arial"/>
      <family val="2"/>
    </font>
    <font>
      <b/>
      <sz val="9"/>
      <name val="Times New Roman"/>
      <family val="1"/>
    </font>
    <font>
      <b/>
      <sz val="10"/>
      <color rgb="FFFF0000"/>
      <name val="Arial"/>
      <family val="2"/>
    </font>
    <font>
      <b/>
      <sz val="11"/>
      <color rgb="FFFF0000"/>
      <name val="Arial"/>
      <family val="2"/>
    </font>
    <font>
      <b/>
      <sz val="9"/>
      <color rgb="FFFF0000"/>
      <name val="Arial"/>
      <family val="2"/>
    </font>
    <font>
      <b/>
      <sz val="10"/>
      <color rgb="FF0070C0"/>
      <name val="Arial"/>
      <family val="2"/>
    </font>
    <font>
      <b/>
      <sz val="12"/>
      <color rgb="FFFF0000"/>
      <name val="Arial"/>
      <family val="2"/>
    </font>
    <font>
      <sz val="9"/>
      <color rgb="FFC00000"/>
      <name val="Arial"/>
      <family val="2"/>
    </font>
    <font>
      <sz val="10"/>
      <color rgb="FFC00000"/>
      <name val="Arial"/>
      <family val="2"/>
    </font>
    <font>
      <sz val="10"/>
      <color rgb="FFFF0000"/>
      <name val="Arial"/>
      <family val="2"/>
    </font>
    <font>
      <b/>
      <sz val="9"/>
      <color rgb="FFC00000"/>
      <name val="Arial"/>
      <family val="2"/>
    </font>
    <font>
      <b/>
      <sz val="9"/>
      <color rgb="FF7030A0"/>
      <name val="Arial"/>
      <family val="2"/>
    </font>
    <font>
      <b/>
      <sz val="10"/>
      <color rgb="FFC00000"/>
      <name val="Arial"/>
      <family val="2"/>
    </font>
  </fonts>
  <fills count="7">
    <fill>
      <patternFill patternType="none"/>
    </fill>
    <fill>
      <patternFill patternType="gray125"/>
    </fill>
    <fill>
      <patternFill patternType="solid">
        <fgColor indexed="9"/>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8" tint="0.79998168889431442"/>
        <bgColor indexed="64"/>
      </patternFill>
    </fill>
    <fill>
      <patternFill patternType="solid">
        <fgColor rgb="FFFFFF00"/>
        <bgColor indexed="64"/>
      </patternFill>
    </fill>
  </fills>
  <borders count="6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medium">
        <color indexed="64"/>
      </left>
      <right/>
      <top/>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right/>
      <top/>
      <bottom style="medium">
        <color indexed="64"/>
      </bottom>
      <diagonal/>
    </border>
    <border>
      <left/>
      <right style="medium">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medium">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diagonal/>
    </border>
    <border>
      <left/>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top style="thin">
        <color indexed="64"/>
      </top>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top style="medium">
        <color indexed="64"/>
      </top>
      <bottom/>
      <diagonal/>
    </border>
    <border>
      <left style="medium">
        <color indexed="64"/>
      </left>
      <right/>
      <top style="thin">
        <color indexed="64"/>
      </top>
      <bottom style="medium">
        <color indexed="64"/>
      </bottom>
      <diagonal/>
    </border>
    <border>
      <left/>
      <right style="medium">
        <color indexed="64"/>
      </right>
      <top style="thin">
        <color indexed="64"/>
      </top>
      <bottom/>
      <diagonal/>
    </border>
    <border>
      <left style="thin">
        <color indexed="64"/>
      </left>
      <right style="thin">
        <color indexed="64"/>
      </right>
      <top style="medium">
        <color indexed="64"/>
      </top>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s>
  <cellStyleXfs count="4">
    <xf numFmtId="0" fontId="0" fillId="0" borderId="0"/>
    <xf numFmtId="169" fontId="1" fillId="0" borderId="0" applyFont="0" applyFill="0" applyBorder="0" applyAlignment="0" applyProtection="0"/>
    <xf numFmtId="0" fontId="4" fillId="0" borderId="0"/>
    <xf numFmtId="164" fontId="1" fillId="0" borderId="0" applyFont="0" applyFill="0" applyBorder="0" applyAlignment="0" applyProtection="0"/>
  </cellStyleXfs>
  <cellXfs count="842">
    <xf numFmtId="0" fontId="0" fillId="0" borderId="0" xfId="0"/>
    <xf numFmtId="0" fontId="0" fillId="0" borderId="0" xfId="0" applyBorder="1"/>
    <xf numFmtId="0" fontId="0" fillId="0" borderId="0" xfId="0" applyAlignment="1">
      <alignment horizontal="center"/>
    </xf>
    <xf numFmtId="0" fontId="0" fillId="0" borderId="0" xfId="0" applyAlignment="1">
      <alignment horizontal="center" vertical="center"/>
    </xf>
    <xf numFmtId="0" fontId="4" fillId="0" borderId="0" xfId="0" applyFont="1" applyBorder="1"/>
    <xf numFmtId="0" fontId="5" fillId="0" borderId="0" xfId="0" applyFont="1"/>
    <xf numFmtId="0" fontId="7" fillId="0" borderId="0" xfId="0" applyFont="1" applyBorder="1" applyAlignment="1">
      <alignment vertical="justify" wrapText="1"/>
    </xf>
    <xf numFmtId="0" fontId="0" fillId="0" borderId="0" xfId="0" applyAlignment="1">
      <alignment vertical="justify"/>
    </xf>
    <xf numFmtId="0" fontId="5" fillId="0" borderId="0" xfId="0" applyFont="1" applyAlignment="1">
      <alignment horizontal="center" vertical="center"/>
    </xf>
    <xf numFmtId="165" fontId="7" fillId="0" borderId="0" xfId="0" applyNumberFormat="1" applyFont="1" applyBorder="1" applyAlignment="1">
      <alignment horizontal="center" vertical="center"/>
    </xf>
    <xf numFmtId="165" fontId="8" fillId="0" borderId="1" xfId="0" applyNumberFormat="1" applyFont="1" applyBorder="1" applyAlignment="1">
      <alignment horizontal="center" vertical="center"/>
    </xf>
    <xf numFmtId="165" fontId="7" fillId="0" borderId="1" xfId="0" applyNumberFormat="1" applyFont="1" applyBorder="1" applyAlignment="1">
      <alignment horizontal="center" vertical="center"/>
    </xf>
    <xf numFmtId="165" fontId="0" fillId="0" borderId="0" xfId="0" applyNumberFormat="1" applyBorder="1" applyAlignment="1">
      <alignment horizontal="center" vertical="center"/>
    </xf>
    <xf numFmtId="0" fontId="17" fillId="0" borderId="0" xfId="0" applyFont="1" applyAlignment="1">
      <alignment horizontal="center" vertical="center"/>
    </xf>
    <xf numFmtId="165" fontId="8" fillId="0" borderId="2" xfId="0" applyNumberFormat="1" applyFont="1" applyBorder="1" applyAlignment="1">
      <alignment horizontal="center" vertical="center"/>
    </xf>
    <xf numFmtId="0" fontId="7" fillId="0" borderId="3" xfId="0" applyFont="1" applyBorder="1" applyAlignment="1">
      <alignment vertical="justify" wrapText="1"/>
    </xf>
    <xf numFmtId="0" fontId="7" fillId="0" borderId="3" xfId="0" applyFont="1" applyBorder="1" applyAlignment="1">
      <alignment horizontal="center" vertical="justify" wrapText="1"/>
    </xf>
    <xf numFmtId="4" fontId="7" fillId="0" borderId="0" xfId="0" applyNumberFormat="1" applyFont="1" applyBorder="1" applyAlignment="1">
      <alignment horizontal="center" vertical="justify" wrapText="1"/>
    </xf>
    <xf numFmtId="4" fontId="7" fillId="0" borderId="3" xfId="0" applyNumberFormat="1" applyFont="1" applyBorder="1" applyAlignment="1">
      <alignment horizontal="center" vertical="justify" wrapText="1"/>
    </xf>
    <xf numFmtId="4" fontId="0" fillId="0" borderId="0" xfId="0" applyNumberFormat="1" applyAlignment="1">
      <alignment horizontal="center"/>
    </xf>
    <xf numFmtId="0" fontId="20" fillId="0" borderId="0" xfId="0" applyFont="1" applyBorder="1" applyAlignment="1">
      <alignment horizontal="center" vertical="justify" wrapText="1"/>
    </xf>
    <xf numFmtId="0" fontId="20" fillId="0" borderId="3" xfId="0" applyFont="1" applyBorder="1" applyAlignment="1">
      <alignment horizontal="center" vertical="justify" wrapText="1"/>
    </xf>
    <xf numFmtId="2" fontId="11" fillId="0" borderId="1" xfId="0" applyNumberFormat="1" applyFont="1" applyBorder="1" applyAlignment="1">
      <alignment horizontal="center" vertical="center"/>
    </xf>
    <xf numFmtId="165" fontId="7" fillId="0" borderId="2" xfId="0" applyNumberFormat="1" applyFont="1" applyBorder="1" applyAlignment="1">
      <alignment horizontal="center" vertical="center"/>
    </xf>
    <xf numFmtId="2" fontId="8" fillId="0" borderId="0" xfId="0" applyNumberFormat="1" applyFont="1" applyBorder="1" applyAlignment="1">
      <alignment horizontal="center" vertical="center"/>
    </xf>
    <xf numFmtId="0" fontId="25" fillId="0" borderId="0" xfId="0" applyFont="1" applyAlignment="1">
      <alignment horizontal="justify"/>
    </xf>
    <xf numFmtId="0" fontId="12" fillId="0" borderId="0" xfId="0" applyFont="1" applyAlignment="1"/>
    <xf numFmtId="2" fontId="8" fillId="0" borderId="1" xfId="0" applyNumberFormat="1" applyFont="1" applyBorder="1" applyAlignment="1">
      <alignment horizontal="center" vertical="center"/>
    </xf>
    <xf numFmtId="2" fontId="22" fillId="0" borderId="0" xfId="0" applyNumberFormat="1" applyFont="1" applyBorder="1" applyAlignment="1">
      <alignment horizontal="center" vertical="center"/>
    </xf>
    <xf numFmtId="169" fontId="17" fillId="0" borderId="0" xfId="1" applyFont="1" applyBorder="1" applyAlignment="1">
      <alignment horizontal="center" vertical="center"/>
    </xf>
    <xf numFmtId="0" fontId="17" fillId="0" borderId="0" xfId="0" applyFont="1" applyAlignment="1">
      <alignment horizontal="center"/>
    </xf>
    <xf numFmtId="0" fontId="17" fillId="0" borderId="0" xfId="0" applyFont="1" applyAlignment="1">
      <alignment horizontal="center" vertical="justify"/>
    </xf>
    <xf numFmtId="0" fontId="18" fillId="0" borderId="0" xfId="0" applyFont="1" applyAlignment="1">
      <alignment horizontal="center"/>
    </xf>
    <xf numFmtId="2" fontId="8" fillId="0" borderId="1" xfId="0" applyNumberFormat="1" applyFont="1" applyFill="1" applyBorder="1" applyAlignment="1">
      <alignment horizontal="center" vertical="center"/>
    </xf>
    <xf numFmtId="4" fontId="0" fillId="0" borderId="0" xfId="0" applyNumberFormat="1" applyBorder="1" applyAlignment="1">
      <alignment horizontal="center" vertical="center"/>
    </xf>
    <xf numFmtId="0" fontId="6" fillId="0" borderId="0" xfId="0" applyFont="1" applyAlignment="1">
      <alignment horizontal="center" vertical="center" wrapText="1"/>
    </xf>
    <xf numFmtId="165" fontId="17" fillId="0" borderId="0" xfId="0" applyNumberFormat="1" applyFont="1" applyAlignment="1">
      <alignment horizontal="center" vertical="center"/>
    </xf>
    <xf numFmtId="2" fontId="17" fillId="0" borderId="4" xfId="0" applyNumberFormat="1" applyFont="1" applyBorder="1" applyAlignment="1">
      <alignment horizontal="center" vertical="center"/>
    </xf>
    <xf numFmtId="0" fontId="20" fillId="0" borderId="0" xfId="0" applyFont="1" applyFill="1" applyBorder="1" applyAlignment="1">
      <alignment horizontal="center" vertical="justify" wrapText="1"/>
    </xf>
    <xf numFmtId="0" fontId="8" fillId="0" borderId="0" xfId="0" applyFont="1" applyFill="1" applyBorder="1" applyAlignment="1">
      <alignment horizontal="center" vertical="justify" wrapText="1"/>
    </xf>
    <xf numFmtId="0" fontId="26" fillId="0" borderId="0" xfId="0" applyFont="1" applyAlignment="1">
      <alignment horizontal="center"/>
    </xf>
    <xf numFmtId="2" fontId="21" fillId="0" borderId="0" xfId="0" applyNumberFormat="1" applyFont="1" applyBorder="1" applyAlignment="1">
      <alignment horizontal="center" vertical="center"/>
    </xf>
    <xf numFmtId="0" fontId="0" fillId="0" borderId="0" xfId="0" applyBorder="1" applyAlignment="1">
      <alignment vertical="justify"/>
    </xf>
    <xf numFmtId="166" fontId="27" fillId="0" borderId="5" xfId="0" applyNumberFormat="1" applyFont="1" applyBorder="1" applyAlignment="1">
      <alignment horizontal="center" vertical="center"/>
    </xf>
    <xf numFmtId="0" fontId="1" fillId="0" borderId="0" xfId="0" applyFont="1" applyAlignment="1">
      <alignment horizontal="center"/>
    </xf>
    <xf numFmtId="165" fontId="2" fillId="0" borderId="0" xfId="0" applyNumberFormat="1" applyFont="1" applyBorder="1" applyAlignment="1">
      <alignment horizontal="center" vertical="center"/>
    </xf>
    <xf numFmtId="0" fontId="15" fillId="0" borderId="0" xfId="0" applyFont="1" applyAlignment="1">
      <alignment horizontal="center" vertical="center"/>
    </xf>
    <xf numFmtId="4" fontId="4" fillId="0" borderId="3" xfId="0" applyNumberFormat="1" applyFont="1" applyBorder="1" applyAlignment="1">
      <alignment horizontal="center"/>
    </xf>
    <xf numFmtId="2" fontId="24" fillId="0" borderId="1" xfId="0" applyNumberFormat="1" applyFont="1" applyBorder="1" applyAlignment="1">
      <alignment horizontal="center" vertical="center"/>
    </xf>
    <xf numFmtId="0" fontId="0" fillId="0" borderId="1" xfId="0" applyBorder="1" applyAlignment="1">
      <alignment horizontal="center"/>
    </xf>
    <xf numFmtId="0" fontId="0" fillId="0" borderId="1" xfId="0" applyFill="1" applyBorder="1" applyAlignment="1">
      <alignment horizontal="center"/>
    </xf>
    <xf numFmtId="0" fontId="0" fillId="0" borderId="0" xfId="0" applyAlignment="1">
      <alignment vertical="center"/>
    </xf>
    <xf numFmtId="0" fontId="34" fillId="0" borderId="6" xfId="0" applyFont="1" applyBorder="1"/>
    <xf numFmtId="0" fontId="34" fillId="0" borderId="7" xfId="0" applyFont="1" applyBorder="1"/>
    <xf numFmtId="0" fontId="34" fillId="0" borderId="8" xfId="0" applyFont="1" applyBorder="1"/>
    <xf numFmtId="167" fontId="23" fillId="0" borderId="0" xfId="0" applyNumberFormat="1" applyFont="1" applyAlignment="1">
      <alignment horizontal="center" vertical="center"/>
    </xf>
    <xf numFmtId="0" fontId="8" fillId="0" borderId="0" xfId="0" applyFont="1" applyBorder="1" applyAlignment="1">
      <alignment horizontal="center" vertical="justify" wrapText="1"/>
    </xf>
    <xf numFmtId="0" fontId="7" fillId="0" borderId="0" xfId="0" applyFont="1" applyBorder="1" applyAlignment="1">
      <alignment horizontal="center" vertical="justify" wrapText="1"/>
    </xf>
    <xf numFmtId="0" fontId="17" fillId="0" borderId="4" xfId="0" applyFont="1" applyBorder="1" applyAlignment="1">
      <alignment horizontal="center" vertical="center"/>
    </xf>
    <xf numFmtId="2" fontId="8" fillId="0" borderId="2" xfId="0" applyNumberFormat="1" applyFont="1" applyBorder="1" applyAlignment="1">
      <alignment horizontal="center" vertical="center"/>
    </xf>
    <xf numFmtId="0" fontId="0" fillId="0" borderId="0" xfId="0" applyBorder="1" applyAlignment="1">
      <alignment horizontal="center" vertical="justify" wrapText="1"/>
    </xf>
    <xf numFmtId="4" fontId="5" fillId="0" borderId="0" xfId="0" applyNumberFormat="1" applyFont="1" applyBorder="1" applyAlignment="1">
      <alignment horizontal="center" vertical="justify" wrapText="1"/>
    </xf>
    <xf numFmtId="4" fontId="5" fillId="0" borderId="3" xfId="0" applyNumberFormat="1" applyFont="1" applyBorder="1" applyAlignment="1">
      <alignment horizontal="center" vertical="justify" wrapText="1"/>
    </xf>
    <xf numFmtId="4" fontId="4" fillId="0" borderId="0" xfId="0" applyNumberFormat="1" applyFont="1" applyAlignment="1">
      <alignment horizontal="center"/>
    </xf>
    <xf numFmtId="4" fontId="4" fillId="0" borderId="0" xfId="0" applyNumberFormat="1" applyFont="1" applyAlignment="1">
      <alignment horizontal="left"/>
    </xf>
    <xf numFmtId="4" fontId="0" fillId="0" borderId="0" xfId="0" applyNumberFormat="1" applyAlignment="1">
      <alignment horizontal="left"/>
    </xf>
    <xf numFmtId="4" fontId="0" fillId="0" borderId="3" xfId="0" applyNumberFormat="1" applyBorder="1" applyAlignment="1">
      <alignment horizontal="left"/>
    </xf>
    <xf numFmtId="4" fontId="4" fillId="0" borderId="3" xfId="0" applyNumberFormat="1" applyFont="1" applyBorder="1" applyAlignment="1">
      <alignment horizontal="left"/>
    </xf>
    <xf numFmtId="4" fontId="8" fillId="0" borderId="1" xfId="0" applyNumberFormat="1" applyFont="1" applyBorder="1" applyAlignment="1">
      <alignment horizontal="center" vertical="center"/>
    </xf>
    <xf numFmtId="2" fontId="7" fillId="0" borderId="0" xfId="0" applyNumberFormat="1" applyFont="1" applyBorder="1" applyAlignment="1">
      <alignment horizontal="center" vertical="center"/>
    </xf>
    <xf numFmtId="4" fontId="7" fillId="0" borderId="0" xfId="0" applyNumberFormat="1" applyFont="1" applyAlignment="1">
      <alignment horizontal="center"/>
    </xf>
    <xf numFmtId="4" fontId="7" fillId="0" borderId="3" xfId="0" applyNumberFormat="1" applyFont="1" applyBorder="1" applyAlignment="1">
      <alignment horizontal="center"/>
    </xf>
    <xf numFmtId="4" fontId="8" fillId="0" borderId="0" xfId="0" applyNumberFormat="1" applyFont="1" applyAlignment="1">
      <alignment horizontal="left"/>
    </xf>
    <xf numFmtId="4" fontId="7" fillId="0" borderId="0" xfId="0" applyNumberFormat="1" applyFont="1" applyAlignment="1">
      <alignment horizontal="left"/>
    </xf>
    <xf numFmtId="0" fontId="7" fillId="0" borderId="0" xfId="0" applyFont="1" applyAlignment="1">
      <alignment horizontal="center"/>
    </xf>
    <xf numFmtId="0" fontId="17" fillId="0" borderId="0" xfId="0" applyFont="1" applyAlignment="1">
      <alignment horizontal="left"/>
    </xf>
    <xf numFmtId="4" fontId="7" fillId="0" borderId="0" xfId="0" quotePrefix="1" applyNumberFormat="1" applyFont="1" applyAlignment="1">
      <alignment horizontal="center"/>
    </xf>
    <xf numFmtId="2" fontId="0" fillId="0" borderId="1" xfId="0" applyNumberFormat="1" applyBorder="1" applyAlignment="1">
      <alignment horizontal="center" vertical="center"/>
    </xf>
    <xf numFmtId="0" fontId="7" fillId="0" borderId="0" xfId="0" applyFont="1" applyBorder="1" applyAlignment="1">
      <alignment horizontal="left"/>
    </xf>
    <xf numFmtId="0" fontId="0" fillId="0" borderId="0" xfId="0" applyAlignment="1">
      <alignment horizontal="center" vertical="center" wrapText="1"/>
    </xf>
    <xf numFmtId="4" fontId="0" fillId="0" borderId="9" xfId="0" applyNumberFormat="1" applyBorder="1" applyAlignment="1">
      <alignment horizontal="center"/>
    </xf>
    <xf numFmtId="4" fontId="0" fillId="0" borderId="10" xfId="0" applyNumberFormat="1" applyBorder="1" applyAlignment="1">
      <alignment horizontal="center"/>
    </xf>
    <xf numFmtId="4" fontId="36" fillId="0" borderId="10" xfId="0" applyNumberFormat="1" applyFont="1" applyBorder="1" applyAlignment="1">
      <alignment horizontal="center"/>
    </xf>
    <xf numFmtId="4" fontId="0" fillId="0" borderId="4" xfId="0" applyNumberFormat="1" applyBorder="1" applyAlignment="1">
      <alignment horizontal="center"/>
    </xf>
    <xf numFmtId="4" fontId="0" fillId="0" borderId="0" xfId="0" applyNumberFormat="1" applyBorder="1" applyAlignment="1">
      <alignment horizontal="center"/>
    </xf>
    <xf numFmtId="4" fontId="36" fillId="0" borderId="0" xfId="0" applyNumberFormat="1" applyFont="1" applyBorder="1" applyAlignment="1">
      <alignment horizontal="center"/>
    </xf>
    <xf numFmtId="4" fontId="0" fillId="0" borderId="11" xfId="0" applyNumberFormat="1" applyBorder="1" applyAlignment="1">
      <alignment horizontal="center"/>
    </xf>
    <xf numFmtId="4" fontId="0" fillId="0" borderId="12" xfId="0" applyNumberFormat="1" applyBorder="1" applyAlignment="1">
      <alignment horizontal="center"/>
    </xf>
    <xf numFmtId="4" fontId="36" fillId="0" borderId="12" xfId="0" applyNumberFormat="1" applyFont="1" applyBorder="1" applyAlignment="1">
      <alignment horizontal="center"/>
    </xf>
    <xf numFmtId="4" fontId="36" fillId="0" borderId="0" xfId="0" applyNumberFormat="1" applyFont="1" applyAlignment="1">
      <alignment horizontal="center"/>
    </xf>
    <xf numFmtId="4" fontId="42" fillId="0" borderId="0" xfId="0" applyNumberFormat="1" applyFont="1" applyAlignment="1">
      <alignment horizontal="left"/>
    </xf>
    <xf numFmtId="2" fontId="4" fillId="0" borderId="1" xfId="0" applyNumberFormat="1" applyFont="1" applyBorder="1" applyAlignment="1">
      <alignment horizontal="center" vertical="center" wrapText="1"/>
    </xf>
    <xf numFmtId="0" fontId="7" fillId="0" borderId="13" xfId="0" applyFont="1" applyBorder="1" applyAlignment="1">
      <alignment horizontal="center" vertical="justify" wrapText="1"/>
    </xf>
    <xf numFmtId="4" fontId="4" fillId="0" borderId="0" xfId="0" applyNumberFormat="1" applyFont="1" applyBorder="1" applyAlignment="1">
      <alignment horizontal="center"/>
    </xf>
    <xf numFmtId="0" fontId="17" fillId="0" borderId="0" xfId="0" applyFont="1" applyAlignment="1"/>
    <xf numFmtId="2" fontId="0" fillId="0" borderId="14" xfId="0" applyNumberFormat="1" applyBorder="1" applyAlignment="1">
      <alignment horizontal="center" vertical="center"/>
    </xf>
    <xf numFmtId="0" fontId="17" fillId="0" borderId="0" xfId="0" applyFont="1" applyAlignment="1">
      <alignment horizontal="left" vertical="center" wrapText="1"/>
    </xf>
    <xf numFmtId="0" fontId="0" fillId="0" borderId="0" xfId="0" applyBorder="1" applyAlignment="1">
      <alignment horizontal="left" vertical="center" wrapText="1"/>
    </xf>
    <xf numFmtId="0" fontId="0" fillId="0" borderId="0" xfId="0" applyAlignment="1">
      <alignment horizontal="left" vertical="center" wrapText="1"/>
    </xf>
    <xf numFmtId="2" fontId="15" fillId="0" borderId="0" xfId="0" quotePrefix="1" applyNumberFormat="1" applyFont="1" applyBorder="1" applyAlignment="1">
      <alignment horizontal="left" vertical="center"/>
    </xf>
    <xf numFmtId="0" fontId="34" fillId="0" borderId="6" xfId="0" applyFont="1" applyBorder="1" applyAlignment="1"/>
    <xf numFmtId="0" fontId="34" fillId="0" borderId="7" xfId="0" applyFont="1" applyBorder="1" applyAlignment="1"/>
    <xf numFmtId="0" fontId="34" fillId="0" borderId="8" xfId="0" applyFont="1" applyBorder="1" applyAlignment="1"/>
    <xf numFmtId="2" fontId="15" fillId="0" borderId="15" xfId="0" applyNumberFormat="1" applyFont="1" applyBorder="1" applyAlignment="1">
      <alignment horizontal="center" vertical="center"/>
    </xf>
    <xf numFmtId="0" fontId="22" fillId="0" borderId="0" xfId="0" applyNumberFormat="1" applyFont="1" applyBorder="1" applyAlignment="1">
      <alignment horizontal="center" vertical="center" wrapText="1"/>
    </xf>
    <xf numFmtId="0" fontId="15" fillId="0" borderId="0" xfId="0" applyNumberFormat="1" applyFont="1" applyBorder="1" applyAlignment="1">
      <alignment horizontal="center" vertical="center"/>
    </xf>
    <xf numFmtId="2" fontId="15" fillId="0" borderId="0" xfId="0" quotePrefix="1" applyNumberFormat="1" applyFont="1" applyBorder="1" applyAlignment="1">
      <alignment horizontal="center" vertical="center"/>
    </xf>
    <xf numFmtId="2" fontId="15" fillId="0" borderId="0" xfId="0" applyNumberFormat="1" applyFont="1" applyBorder="1" applyAlignment="1">
      <alignment horizontal="center" vertical="center"/>
    </xf>
    <xf numFmtId="4" fontId="8" fillId="0" borderId="0" xfId="0" quotePrefix="1" applyNumberFormat="1" applyFont="1" applyAlignment="1">
      <alignment horizontal="left"/>
    </xf>
    <xf numFmtId="4" fontId="7" fillId="0" borderId="0" xfId="0" applyNumberFormat="1" applyFont="1" applyBorder="1" applyAlignment="1">
      <alignment horizontal="center"/>
    </xf>
    <xf numFmtId="4" fontId="7" fillId="0" borderId="13" xfId="0" applyNumberFormat="1" applyFont="1" applyBorder="1" applyAlignment="1">
      <alignment horizontal="left"/>
    </xf>
    <xf numFmtId="4" fontId="4" fillId="0" borderId="0" xfId="0" applyNumberFormat="1" applyFont="1" applyBorder="1" applyAlignment="1">
      <alignment horizontal="center" vertical="center" wrapText="1"/>
    </xf>
    <xf numFmtId="4" fontId="4" fillId="0" borderId="0" xfId="0" applyNumberFormat="1" applyFont="1" applyBorder="1" applyAlignment="1">
      <alignment horizontal="center" vertical="center"/>
    </xf>
    <xf numFmtId="0" fontId="4" fillId="0" borderId="0" xfId="0" applyFont="1" applyBorder="1" applyAlignment="1">
      <alignment horizontal="left" vertical="center" wrapText="1"/>
    </xf>
    <xf numFmtId="0" fontId="4" fillId="0" borderId="0" xfId="0" applyFont="1" applyBorder="1" applyAlignment="1">
      <alignment horizontal="left"/>
    </xf>
    <xf numFmtId="0" fontId="2" fillId="0" borderId="0" xfId="0" applyFont="1" applyBorder="1" applyAlignment="1">
      <alignment horizontal="left"/>
    </xf>
    <xf numFmtId="4" fontId="14" fillId="0" borderId="0" xfId="0" applyNumberFormat="1" applyFont="1" applyAlignment="1">
      <alignment horizontal="center"/>
    </xf>
    <xf numFmtId="0" fontId="5" fillId="0" borderId="2" xfId="2" quotePrefix="1" applyFont="1" applyBorder="1" applyAlignment="1">
      <alignment horizontal="center" vertical="center"/>
    </xf>
    <xf numFmtId="0" fontId="15" fillId="0" borderId="1" xfId="2" applyFont="1" applyBorder="1" applyAlignment="1">
      <alignment horizontal="center" vertical="center" wrapText="1"/>
    </xf>
    <xf numFmtId="2" fontId="5" fillId="0" borderId="1" xfId="2" applyNumberFormat="1" applyFont="1" applyBorder="1" applyAlignment="1">
      <alignment horizontal="center" vertical="center"/>
    </xf>
    <xf numFmtId="170" fontId="44" fillId="2" borderId="0" xfId="2" quotePrefix="1" applyNumberFormat="1" applyFont="1" applyFill="1" applyBorder="1" applyAlignment="1">
      <alignment horizontal="center" vertical="center"/>
    </xf>
    <xf numFmtId="4" fontId="0" fillId="0" borderId="0" xfId="0" applyNumberFormat="1" applyBorder="1" applyAlignment="1">
      <alignment horizontal="center" vertical="center" wrapText="1"/>
    </xf>
    <xf numFmtId="0" fontId="4" fillId="0" borderId="0" xfId="2"/>
    <xf numFmtId="0" fontId="4" fillId="0" borderId="0" xfId="2" applyBorder="1"/>
    <xf numFmtId="2" fontId="44" fillId="0" borderId="16" xfId="0" quotePrefix="1" applyNumberFormat="1" applyFont="1" applyBorder="1" applyAlignment="1">
      <alignment horizontal="center" vertical="center"/>
    </xf>
    <xf numFmtId="0" fontId="13" fillId="0" borderId="17" xfId="0" applyFont="1" applyBorder="1"/>
    <xf numFmtId="0" fontId="13" fillId="0" borderId="0" xfId="0" applyFont="1"/>
    <xf numFmtId="2" fontId="15" fillId="0" borderId="1" xfId="0" applyNumberFormat="1" applyFont="1" applyBorder="1" applyAlignment="1">
      <alignment horizontal="center" vertical="center"/>
    </xf>
    <xf numFmtId="4" fontId="46" fillId="0" borderId="1" xfId="0" applyNumberFormat="1" applyFont="1" applyBorder="1" applyAlignment="1">
      <alignment horizontal="center" vertical="center"/>
    </xf>
    <xf numFmtId="0" fontId="29" fillId="0" borderId="1" xfId="0" applyFont="1" applyBorder="1" applyAlignment="1">
      <alignment horizontal="center" vertical="center"/>
    </xf>
    <xf numFmtId="9" fontId="28" fillId="0" borderId="1" xfId="0" applyNumberFormat="1" applyFont="1" applyBorder="1" applyAlignment="1">
      <alignment horizontal="center" vertical="center"/>
    </xf>
    <xf numFmtId="2" fontId="32" fillId="0" borderId="1" xfId="0" applyNumberFormat="1" applyFont="1" applyBorder="1" applyAlignment="1">
      <alignment horizontal="center" vertical="center"/>
    </xf>
    <xf numFmtId="2" fontId="28" fillId="0" borderId="1" xfId="0" applyNumberFormat="1" applyFont="1" applyBorder="1" applyAlignment="1">
      <alignment horizontal="center"/>
    </xf>
    <xf numFmtId="165" fontId="28" fillId="0" borderId="1" xfId="0" applyNumberFormat="1" applyFont="1" applyBorder="1" applyAlignment="1">
      <alignment horizontal="center" vertical="center"/>
    </xf>
    <xf numFmtId="4" fontId="0" fillId="0" borderId="16" xfId="0" applyNumberFormat="1" applyBorder="1" applyAlignment="1">
      <alignment horizontal="center" vertical="center"/>
    </xf>
    <xf numFmtId="4" fontId="4" fillId="0" borderId="16" xfId="0" applyNumberFormat="1" applyFont="1" applyBorder="1" applyAlignment="1">
      <alignment horizontal="center" vertical="center"/>
    </xf>
    <xf numFmtId="0" fontId="5" fillId="0" borderId="1" xfId="2" quotePrefix="1" applyFont="1" applyBorder="1" applyAlignment="1">
      <alignment horizontal="center" vertical="center" wrapText="1"/>
    </xf>
    <xf numFmtId="169" fontId="5" fillId="0" borderId="0" xfId="1" applyFont="1" applyBorder="1" applyAlignment="1">
      <alignment horizontal="center" vertical="center"/>
    </xf>
    <xf numFmtId="0" fontId="5" fillId="0" borderId="0" xfId="0" applyFont="1" applyAlignment="1">
      <alignment horizontal="center"/>
    </xf>
    <xf numFmtId="4" fontId="4" fillId="0" borderId="3" xfId="0" applyNumberFormat="1" applyFont="1" applyBorder="1" applyAlignment="1">
      <alignment horizontal="center" vertical="justify" wrapText="1"/>
    </xf>
    <xf numFmtId="0" fontId="5" fillId="0" borderId="0" xfId="0" applyFont="1" applyBorder="1" applyAlignment="1">
      <alignment horizontal="left"/>
    </xf>
    <xf numFmtId="165" fontId="5" fillId="0" borderId="0" xfId="0" applyNumberFormat="1" applyFont="1" applyBorder="1" applyAlignment="1">
      <alignment horizontal="center" vertical="center"/>
    </xf>
    <xf numFmtId="0" fontId="13" fillId="0" borderId="0" xfId="0" applyNumberFormat="1" applyFont="1" applyBorder="1" applyAlignment="1">
      <alignment horizontal="center" vertical="center"/>
    </xf>
    <xf numFmtId="2" fontId="5" fillId="0" borderId="0" xfId="0" applyNumberFormat="1" applyFont="1" applyBorder="1" applyAlignment="1">
      <alignment horizontal="center" vertical="center" wrapText="1"/>
    </xf>
    <xf numFmtId="165" fontId="5" fillId="0" borderId="1" xfId="0" applyNumberFormat="1" applyFont="1" applyBorder="1" applyAlignment="1">
      <alignment horizontal="center" vertical="center"/>
    </xf>
    <xf numFmtId="2" fontId="6" fillId="0" borderId="1" xfId="0" applyNumberFormat="1" applyFont="1" applyBorder="1" applyAlignment="1">
      <alignment horizontal="center" vertical="center"/>
    </xf>
    <xf numFmtId="0" fontId="5" fillId="0" borderId="7" xfId="0" applyFont="1" applyBorder="1" applyAlignment="1"/>
    <xf numFmtId="0" fontId="5" fillId="0" borderId="7" xfId="0" applyFont="1" applyBorder="1"/>
    <xf numFmtId="170" fontId="47" fillId="2" borderId="0" xfId="2" applyNumberFormat="1" applyFont="1" applyFill="1" applyBorder="1" applyAlignment="1">
      <alignment horizontal="center" vertical="center"/>
    </xf>
    <xf numFmtId="2" fontId="5" fillId="0" borderId="0" xfId="0" applyNumberFormat="1" applyFont="1" applyBorder="1" applyAlignment="1">
      <alignment horizontal="center" vertical="center"/>
    </xf>
    <xf numFmtId="2" fontId="38" fillId="0" borderId="0" xfId="0" quotePrefix="1" applyNumberFormat="1" applyFont="1" applyBorder="1" applyAlignment="1">
      <alignment horizontal="center" vertical="center"/>
    </xf>
    <xf numFmtId="2" fontId="2" fillId="0" borderId="0" xfId="0" quotePrefix="1" applyNumberFormat="1" applyFont="1" applyBorder="1" applyAlignment="1">
      <alignment horizontal="center" vertical="center"/>
    </xf>
    <xf numFmtId="0" fontId="6" fillId="0" borderId="12" xfId="0" applyFont="1" applyBorder="1" applyAlignment="1">
      <alignment horizontal="center" vertical="center" wrapText="1"/>
    </xf>
    <xf numFmtId="0" fontId="5" fillId="0" borderId="1" xfId="0" applyFont="1" applyBorder="1" applyAlignment="1">
      <alignment horizontal="center" vertical="center"/>
    </xf>
    <xf numFmtId="0" fontId="0" fillId="0" borderId="0" xfId="0" applyBorder="1" applyAlignment="1">
      <alignment horizontal="left" vertical="center"/>
    </xf>
    <xf numFmtId="2" fontId="4" fillId="0" borderId="0" xfId="0" applyNumberFormat="1" applyFont="1" applyBorder="1" applyAlignment="1">
      <alignment horizontal="center" vertical="center"/>
    </xf>
    <xf numFmtId="2" fontId="2" fillId="0" borderId="0" xfId="0" applyNumberFormat="1" applyFont="1" applyBorder="1" applyAlignment="1">
      <alignment horizontal="center" vertical="center"/>
    </xf>
    <xf numFmtId="165" fontId="4" fillId="0" borderId="0" xfId="0" applyNumberFormat="1" applyFont="1" applyBorder="1" applyAlignment="1">
      <alignment horizontal="center" vertical="center"/>
    </xf>
    <xf numFmtId="171" fontId="4" fillId="0" borderId="0" xfId="0" applyNumberFormat="1" applyFont="1" applyBorder="1" applyAlignment="1">
      <alignment horizontal="center" vertical="center"/>
    </xf>
    <xf numFmtId="4" fontId="4" fillId="0" borderId="0" xfId="0" quotePrefix="1" applyNumberFormat="1" applyFont="1" applyBorder="1" applyAlignment="1">
      <alignment horizontal="center" vertical="center"/>
    </xf>
    <xf numFmtId="0" fontId="0" fillId="0" borderId="0" xfId="0" applyBorder="1" applyAlignment="1">
      <alignment horizontal="center"/>
    </xf>
    <xf numFmtId="0" fontId="12" fillId="0" borderId="0" xfId="0" applyFont="1" applyAlignment="1">
      <alignment horizontal="center"/>
    </xf>
    <xf numFmtId="4" fontId="13" fillId="0" borderId="18" xfId="0" applyNumberFormat="1" applyFont="1" applyBorder="1" applyAlignment="1">
      <alignment horizontal="center"/>
    </xf>
    <xf numFmtId="4" fontId="13" fillId="0" borderId="3" xfId="0" applyNumberFormat="1" applyFont="1" applyBorder="1" applyAlignment="1">
      <alignment horizontal="center"/>
    </xf>
    <xf numFmtId="4" fontId="13" fillId="0" borderId="19" xfId="0" applyNumberFormat="1" applyFont="1" applyBorder="1" applyAlignment="1">
      <alignment horizontal="center"/>
    </xf>
    <xf numFmtId="4" fontId="49" fillId="0" borderId="12" xfId="0" applyNumberFormat="1" applyFont="1" applyBorder="1" applyAlignment="1">
      <alignment horizontal="center"/>
    </xf>
    <xf numFmtId="4" fontId="4" fillId="0" borderId="12" xfId="0" quotePrefix="1" applyNumberFormat="1" applyFont="1" applyBorder="1" applyAlignment="1">
      <alignment horizontal="center"/>
    </xf>
    <xf numFmtId="4" fontId="2" fillId="0" borderId="10" xfId="0" applyNumberFormat="1" applyFont="1" applyBorder="1" applyAlignment="1">
      <alignment horizontal="center"/>
    </xf>
    <xf numFmtId="4" fontId="2" fillId="0" borderId="0" xfId="0" applyNumberFormat="1" applyFont="1" applyBorder="1" applyAlignment="1">
      <alignment horizontal="center"/>
    </xf>
    <xf numFmtId="4" fontId="2" fillId="0" borderId="12" xfId="0" applyNumberFormat="1" applyFont="1" applyBorder="1" applyAlignment="1">
      <alignment horizontal="center"/>
    </xf>
    <xf numFmtId="2" fontId="2" fillId="0" borderId="1" xfId="0" applyNumberFormat="1" applyFont="1" applyBorder="1" applyAlignment="1">
      <alignment horizontal="center" vertical="center"/>
    </xf>
    <xf numFmtId="4" fontId="2" fillId="0" borderId="17" xfId="0" applyNumberFormat="1" applyFont="1" applyBorder="1" applyAlignment="1">
      <alignment horizontal="center" vertical="center" wrapText="1"/>
    </xf>
    <xf numFmtId="0" fontId="6" fillId="0" borderId="18" xfId="0" applyFont="1" applyBorder="1" applyAlignment="1">
      <alignment horizontal="center" vertical="center" wrapText="1"/>
    </xf>
    <xf numFmtId="0" fontId="6" fillId="0" borderId="19" xfId="0" applyFont="1" applyBorder="1" applyAlignment="1">
      <alignment horizontal="center" vertical="center" wrapText="1"/>
    </xf>
    <xf numFmtId="4" fontId="4" fillId="0" borderId="10" xfId="0" quotePrefix="1" applyNumberFormat="1" applyFont="1" applyBorder="1" applyAlignment="1">
      <alignment horizontal="center"/>
    </xf>
    <xf numFmtId="4" fontId="4" fillId="0" borderId="0" xfId="0" quotePrefix="1" applyNumberFormat="1" applyFont="1" applyBorder="1" applyAlignment="1">
      <alignment horizontal="center"/>
    </xf>
    <xf numFmtId="0" fontId="0" fillId="0" borderId="3" xfId="0" applyBorder="1"/>
    <xf numFmtId="0" fontId="4" fillId="0" borderId="0" xfId="2" applyFont="1"/>
    <xf numFmtId="0" fontId="5" fillId="0" borderId="20" xfId="0" applyFont="1" applyBorder="1"/>
    <xf numFmtId="0" fontId="5" fillId="0" borderId="21" xfId="0" applyFont="1" applyBorder="1"/>
    <xf numFmtId="168" fontId="5" fillId="0" borderId="22" xfId="2" applyNumberFormat="1" applyFont="1" applyFill="1" applyBorder="1" applyAlignment="1">
      <alignment horizontal="center" vertical="center" wrapText="1"/>
    </xf>
    <xf numFmtId="168" fontId="5" fillId="0" borderId="23" xfId="2" applyNumberFormat="1" applyFont="1" applyFill="1" applyBorder="1" applyAlignment="1">
      <alignment horizontal="center" vertical="center" wrapText="1"/>
    </xf>
    <xf numFmtId="168" fontId="5" fillId="2" borderId="23" xfId="2" applyNumberFormat="1" applyFont="1" applyFill="1" applyBorder="1" applyAlignment="1">
      <alignment horizontal="center" vertical="center" wrapText="1"/>
    </xf>
    <xf numFmtId="168" fontId="5" fillId="0" borderId="24" xfId="2" applyNumberFormat="1" applyFont="1" applyFill="1" applyBorder="1" applyAlignment="1">
      <alignment horizontal="center" vertical="center" wrapText="1"/>
    </xf>
    <xf numFmtId="0" fontId="5" fillId="0" borderId="0" xfId="2" applyFont="1"/>
    <xf numFmtId="0" fontId="51" fillId="0" borderId="17" xfId="0" applyFont="1" applyBorder="1"/>
    <xf numFmtId="4" fontId="2" fillId="0" borderId="17" xfId="0" applyNumberFormat="1" applyFont="1" applyBorder="1" applyAlignment="1">
      <alignment horizontal="center"/>
    </xf>
    <xf numFmtId="4" fontId="2" fillId="0" borderId="17" xfId="0" applyNumberFormat="1" applyFont="1" applyBorder="1" applyAlignment="1">
      <alignment horizontal="center" vertical="center"/>
    </xf>
    <xf numFmtId="4" fontId="2" fillId="0" borderId="25" xfId="0" applyNumberFormat="1" applyFont="1" applyBorder="1" applyAlignment="1">
      <alignment horizontal="center" vertical="center"/>
    </xf>
    <xf numFmtId="0" fontId="51" fillId="0" borderId="0" xfId="0" applyFont="1"/>
    <xf numFmtId="0" fontId="51" fillId="0" borderId="1" xfId="0" applyFont="1" applyBorder="1"/>
    <xf numFmtId="2" fontId="2" fillId="0" borderId="26" xfId="0" applyNumberFormat="1" applyFont="1" applyBorder="1" applyAlignment="1">
      <alignment horizontal="center" vertical="center"/>
    </xf>
    <xf numFmtId="0" fontId="4" fillId="0" borderId="2" xfId="2" quotePrefix="1" applyFont="1" applyBorder="1" applyAlignment="1">
      <alignment horizontal="center" vertical="center" wrapText="1"/>
    </xf>
    <xf numFmtId="2" fontId="4" fillId="0" borderId="1" xfId="2" applyNumberFormat="1" applyFont="1" applyBorder="1" applyAlignment="1">
      <alignment horizontal="center" vertical="center"/>
    </xf>
    <xf numFmtId="0" fontId="51" fillId="0" borderId="0" xfId="0" applyFont="1" applyBorder="1"/>
    <xf numFmtId="170" fontId="16" fillId="2" borderId="0" xfId="2" quotePrefix="1" applyNumberFormat="1" applyFont="1" applyFill="1" applyBorder="1" applyAlignment="1">
      <alignment horizontal="center" vertical="center"/>
    </xf>
    <xf numFmtId="2" fontId="2" fillId="0" borderId="0" xfId="0" applyNumberFormat="1" applyFont="1" applyBorder="1" applyAlignment="1">
      <alignment horizontal="center" vertical="center" wrapText="1"/>
    </xf>
    <xf numFmtId="2" fontId="16" fillId="0" borderId="16" xfId="0" quotePrefix="1" applyNumberFormat="1" applyFont="1" applyBorder="1" applyAlignment="1">
      <alignment horizontal="center" vertical="center"/>
    </xf>
    <xf numFmtId="2" fontId="2" fillId="0" borderId="16" xfId="0" applyNumberFormat="1" applyFont="1" applyBorder="1" applyAlignment="1">
      <alignment horizontal="center" vertical="center"/>
    </xf>
    <xf numFmtId="0" fontId="6" fillId="0" borderId="4" xfId="0" applyFont="1" applyBorder="1" applyAlignment="1">
      <alignment horizontal="center" vertical="center"/>
    </xf>
    <xf numFmtId="0" fontId="6" fillId="0" borderId="0" xfId="0" applyFont="1" applyBorder="1" applyAlignment="1">
      <alignment horizontal="left" vertical="center"/>
    </xf>
    <xf numFmtId="0" fontId="5" fillId="0" borderId="0" xfId="0" applyFont="1" applyBorder="1"/>
    <xf numFmtId="0" fontId="5" fillId="0" borderId="0" xfId="0" applyFont="1" applyBorder="1" applyAlignment="1">
      <alignment horizontal="center" vertical="center"/>
    </xf>
    <xf numFmtId="4" fontId="5" fillId="0" borderId="0" xfId="0" applyNumberFormat="1" applyFont="1" applyBorder="1" applyAlignment="1">
      <alignment horizontal="center" vertical="center"/>
    </xf>
    <xf numFmtId="4" fontId="6" fillId="0" borderId="3" xfId="0" applyNumberFormat="1" applyFont="1" applyBorder="1" applyAlignment="1">
      <alignment horizontal="center" vertical="center"/>
    </xf>
    <xf numFmtId="0" fontId="20" fillId="0" borderId="4" xfId="0" applyFont="1" applyBorder="1" applyAlignment="1">
      <alignment horizontal="center" vertical="justify" wrapText="1"/>
    </xf>
    <xf numFmtId="4" fontId="4" fillId="0" borderId="4" xfId="0" applyNumberFormat="1" applyFont="1" applyBorder="1" applyAlignment="1">
      <alignment horizontal="center" vertical="justify" wrapText="1"/>
    </xf>
    <xf numFmtId="4" fontId="4" fillId="0" borderId="4" xfId="0" applyNumberFormat="1" applyFont="1" applyBorder="1" applyAlignment="1">
      <alignment horizontal="center"/>
    </xf>
    <xf numFmtId="0" fontId="5" fillId="0" borderId="4" xfId="0" applyFont="1" applyBorder="1"/>
    <xf numFmtId="4" fontId="0" fillId="0" borderId="0" xfId="0" applyNumberFormat="1" applyBorder="1"/>
    <xf numFmtId="4" fontId="4" fillId="0" borderId="4" xfId="0" applyNumberFormat="1" applyFont="1" applyBorder="1" applyAlignment="1">
      <alignment horizontal="left"/>
    </xf>
    <xf numFmtId="0" fontId="6" fillId="0" borderId="3" xfId="0" applyFont="1" applyBorder="1"/>
    <xf numFmtId="0" fontId="8" fillId="0" borderId="4" xfId="0" applyFont="1" applyBorder="1" applyAlignment="1">
      <alignment horizontal="center" vertical="justify" wrapText="1"/>
    </xf>
    <xf numFmtId="4" fontId="4" fillId="0" borderId="0" xfId="0" applyNumberFormat="1" applyFont="1" applyBorder="1" applyAlignment="1">
      <alignment horizontal="left"/>
    </xf>
    <xf numFmtId="2" fontId="6" fillId="0" borderId="3" xfId="0" applyNumberFormat="1" applyFont="1" applyBorder="1" applyAlignment="1">
      <alignment horizontal="center" vertical="center"/>
    </xf>
    <xf numFmtId="4" fontId="5" fillId="0" borderId="4" xfId="0" applyNumberFormat="1" applyFont="1" applyBorder="1" applyAlignment="1">
      <alignment horizontal="center" vertical="justify" wrapText="1"/>
    </xf>
    <xf numFmtId="170" fontId="47" fillId="2" borderId="12" xfId="2" applyNumberFormat="1" applyFont="1" applyFill="1" applyBorder="1" applyAlignment="1">
      <alignment horizontal="center" vertical="center"/>
    </xf>
    <xf numFmtId="4" fontId="5" fillId="0" borderId="12" xfId="0" applyNumberFormat="1" applyFont="1" applyBorder="1" applyAlignment="1">
      <alignment horizontal="center" vertical="center"/>
    </xf>
    <xf numFmtId="4" fontId="4" fillId="0" borderId="12" xfId="0" applyNumberFormat="1" applyFont="1" applyBorder="1" applyAlignment="1">
      <alignment horizontal="center" vertical="center"/>
    </xf>
    <xf numFmtId="4" fontId="6" fillId="0" borderId="19" xfId="0" applyNumberFormat="1" applyFont="1" applyBorder="1" applyAlignment="1">
      <alignment horizontal="center" vertical="center"/>
    </xf>
    <xf numFmtId="4" fontId="4" fillId="0" borderId="1" xfId="0" applyNumberFormat="1" applyFont="1" applyBorder="1" applyAlignment="1">
      <alignment horizontal="center" vertical="center"/>
    </xf>
    <xf numFmtId="4" fontId="4" fillId="0" borderId="1" xfId="0" quotePrefix="1" applyNumberFormat="1" applyFont="1" applyBorder="1" applyAlignment="1">
      <alignment horizontal="center" vertical="center"/>
    </xf>
    <xf numFmtId="9" fontId="6" fillId="0" borderId="1" xfId="0" applyNumberFormat="1" applyFont="1" applyBorder="1" applyAlignment="1">
      <alignment horizontal="center" vertical="center"/>
    </xf>
    <xf numFmtId="0" fontId="6" fillId="0" borderId="1" xfId="0" applyFont="1" applyBorder="1" applyAlignment="1">
      <alignment horizontal="center" vertical="center"/>
    </xf>
    <xf numFmtId="2" fontId="4" fillId="0" borderId="15" xfId="0" quotePrefix="1" applyNumberFormat="1" applyFont="1" applyBorder="1" applyAlignment="1">
      <alignment horizontal="center" vertical="center"/>
    </xf>
    <xf numFmtId="2" fontId="8" fillId="0" borderId="15" xfId="0" quotePrefix="1" applyNumberFormat="1" applyFont="1" applyBorder="1" applyAlignment="1">
      <alignment horizontal="center" vertical="center"/>
    </xf>
    <xf numFmtId="0" fontId="2" fillId="0" borderId="0" xfId="0" applyFont="1" applyBorder="1"/>
    <xf numFmtId="0" fontId="5" fillId="0" borderId="0" xfId="0" applyFont="1" applyBorder="1" applyAlignment="1">
      <alignment horizontal="center" vertical="justify" wrapText="1"/>
    </xf>
    <xf numFmtId="2" fontId="5" fillId="0" borderId="12" xfId="0" applyNumberFormat="1" applyFont="1" applyBorder="1" applyAlignment="1">
      <alignment horizontal="center" vertical="center"/>
    </xf>
    <xf numFmtId="16" fontId="5" fillId="0" borderId="1" xfId="0" quotePrefix="1" applyNumberFormat="1" applyFont="1" applyBorder="1" applyAlignment="1">
      <alignment horizontal="center" vertical="justify" wrapText="1"/>
    </xf>
    <xf numFmtId="0" fontId="5" fillId="0" borderId="1" xfId="0" applyFont="1" applyBorder="1" applyAlignment="1">
      <alignment horizontal="center" vertical="justify" wrapText="1"/>
    </xf>
    <xf numFmtId="0" fontId="5" fillId="0" borderId="0" xfId="0" applyNumberFormat="1" applyFont="1" applyBorder="1" applyAlignment="1">
      <alignment horizontal="center" vertical="center"/>
    </xf>
    <xf numFmtId="2" fontId="8" fillId="0" borderId="0" xfId="0" applyNumberFormat="1" applyFont="1" applyBorder="1" applyAlignment="1">
      <alignment horizontal="left" vertical="center"/>
    </xf>
    <xf numFmtId="0" fontId="5" fillId="0" borderId="2" xfId="0" applyFont="1" applyBorder="1"/>
    <xf numFmtId="0" fontId="5" fillId="0" borderId="11" xfId="0" applyFont="1" applyBorder="1"/>
    <xf numFmtId="0" fontId="5" fillId="0" borderId="12" xfId="0" applyFont="1" applyBorder="1"/>
    <xf numFmtId="2" fontId="5" fillId="0" borderId="1" xfId="0" applyNumberFormat="1" applyFont="1" applyBorder="1" applyAlignment="1">
      <alignment horizontal="center" vertical="center"/>
    </xf>
    <xf numFmtId="4" fontId="5" fillId="0" borderId="1" xfId="0" applyNumberFormat="1" applyFont="1" applyBorder="1" applyAlignment="1">
      <alignment horizontal="center" vertical="center"/>
    </xf>
    <xf numFmtId="2" fontId="5" fillId="0" borderId="2" xfId="0" applyNumberFormat="1" applyFont="1" applyBorder="1" applyAlignment="1">
      <alignment horizontal="center" vertical="center"/>
    </xf>
    <xf numFmtId="2" fontId="5" fillId="0" borderId="2" xfId="2" applyNumberFormat="1" applyFont="1" applyBorder="1" applyAlignment="1">
      <alignment horizontal="center" vertical="center"/>
    </xf>
    <xf numFmtId="16" fontId="5" fillId="0" borderId="1" xfId="2" quotePrefix="1" applyNumberFormat="1" applyFont="1" applyBorder="1" applyAlignment="1">
      <alignment horizontal="center" vertical="center" wrapText="1"/>
    </xf>
    <xf numFmtId="0" fontId="7" fillId="0" borderId="19" xfId="0" applyFont="1" applyBorder="1" applyAlignment="1">
      <alignment horizontal="center" vertical="justify" wrapText="1"/>
    </xf>
    <xf numFmtId="0" fontId="5" fillId="0" borderId="1" xfId="0" applyFont="1" applyBorder="1" applyAlignment="1">
      <alignment horizontal="center" vertical="center" wrapText="1"/>
    </xf>
    <xf numFmtId="2" fontId="15" fillId="0" borderId="6" xfId="0" applyNumberFormat="1" applyFont="1" applyBorder="1" applyAlignment="1">
      <alignment horizontal="center" vertical="center"/>
    </xf>
    <xf numFmtId="9" fontId="28" fillId="0" borderId="6" xfId="0" applyNumberFormat="1" applyFont="1" applyBorder="1" applyAlignment="1">
      <alignment horizontal="center" vertical="center"/>
    </xf>
    <xf numFmtId="0" fontId="22" fillId="0" borderId="1" xfId="0" applyFont="1" applyBorder="1" applyAlignment="1">
      <alignment horizontal="center" vertical="center"/>
    </xf>
    <xf numFmtId="9" fontId="2" fillId="0" borderId="1" xfId="0" applyNumberFormat="1" applyFont="1" applyBorder="1" applyAlignment="1">
      <alignment horizontal="center" vertical="center"/>
    </xf>
    <xf numFmtId="4" fontId="6" fillId="0" borderId="1" xfId="0" applyNumberFormat="1" applyFont="1" applyBorder="1" applyAlignment="1">
      <alignment horizontal="center" vertical="center"/>
    </xf>
    <xf numFmtId="0" fontId="0" fillId="0" borderId="13" xfId="0" applyBorder="1" applyAlignment="1">
      <alignment horizontal="center"/>
    </xf>
    <xf numFmtId="0" fontId="0" fillId="0" borderId="13" xfId="0" applyBorder="1" applyAlignment="1">
      <alignment horizontal="center" vertical="center"/>
    </xf>
    <xf numFmtId="4" fontId="4" fillId="0" borderId="4" xfId="0" applyNumberFormat="1" applyFont="1" applyBorder="1" applyAlignment="1"/>
    <xf numFmtId="4" fontId="5" fillId="0" borderId="0" xfId="0" applyNumberFormat="1" applyFont="1" applyBorder="1" applyAlignment="1">
      <alignment horizontal="center"/>
    </xf>
    <xf numFmtId="4" fontId="5" fillId="0" borderId="4" xfId="0" applyNumberFormat="1" applyFont="1" applyBorder="1" applyAlignment="1">
      <alignment horizontal="center"/>
    </xf>
    <xf numFmtId="0" fontId="6" fillId="0" borderId="0" xfId="0" applyFont="1" applyAlignment="1">
      <alignment horizontal="center" vertical="center"/>
    </xf>
    <xf numFmtId="164" fontId="6" fillId="0" borderId="27" xfId="3" applyFont="1" applyBorder="1" applyAlignment="1">
      <alignment horizontal="center" vertical="center"/>
    </xf>
    <xf numFmtId="2" fontId="5" fillId="0" borderId="7" xfId="0" applyNumberFormat="1" applyFont="1" applyBorder="1" applyAlignment="1">
      <alignment horizontal="center" vertical="center"/>
    </xf>
    <xf numFmtId="4" fontId="5" fillId="0" borderId="7" xfId="0" applyNumberFormat="1" applyFont="1" applyBorder="1" applyAlignment="1">
      <alignment horizontal="center" vertical="center"/>
    </xf>
    <xf numFmtId="4" fontId="6" fillId="0" borderId="8" xfId="0" applyNumberFormat="1" applyFont="1" applyBorder="1" applyAlignment="1">
      <alignment horizontal="center" vertical="center"/>
    </xf>
    <xf numFmtId="4" fontId="49" fillId="0" borderId="0" xfId="0" applyNumberFormat="1" applyFont="1" applyBorder="1" applyAlignment="1">
      <alignment horizontal="center"/>
    </xf>
    <xf numFmtId="4" fontId="4" fillId="0" borderId="12" xfId="0" applyNumberFormat="1" applyFont="1" applyBorder="1" applyAlignment="1">
      <alignment horizontal="center"/>
    </xf>
    <xf numFmtId="4" fontId="4" fillId="0" borderId="11" xfId="0" applyNumberFormat="1" applyFont="1" applyBorder="1" applyAlignment="1">
      <alignment horizontal="center"/>
    </xf>
    <xf numFmtId="2" fontId="15" fillId="0" borderId="0" xfId="0" applyNumberFormat="1" applyFont="1" applyBorder="1" applyAlignment="1">
      <alignment horizontal="center" vertical="center" wrapText="1"/>
    </xf>
    <xf numFmtId="2" fontId="15" fillId="0" borderId="3" xfId="0" applyNumberFormat="1" applyFont="1" applyBorder="1" applyAlignment="1">
      <alignment horizontal="center" vertical="center" wrapText="1"/>
    </xf>
    <xf numFmtId="4" fontId="58" fillId="0" borderId="0" xfId="0" applyNumberFormat="1" applyFont="1" applyBorder="1"/>
    <xf numFmtId="4" fontId="5" fillId="0" borderId="2" xfId="0" applyNumberFormat="1" applyFont="1" applyBorder="1" applyAlignment="1">
      <alignment horizontal="center" vertical="center"/>
    </xf>
    <xf numFmtId="2" fontId="5" fillId="2" borderId="1" xfId="0" applyNumberFormat="1" applyFont="1" applyFill="1" applyBorder="1" applyAlignment="1">
      <alignment horizontal="center" vertical="center"/>
    </xf>
    <xf numFmtId="2" fontId="5" fillId="2" borderId="0" xfId="0" applyNumberFormat="1" applyFont="1" applyFill="1" applyBorder="1" applyAlignment="1">
      <alignment horizontal="center" vertical="center"/>
    </xf>
    <xf numFmtId="4" fontId="5" fillId="2" borderId="0" xfId="0" applyNumberFormat="1" applyFont="1" applyFill="1" applyBorder="1" applyAlignment="1">
      <alignment horizontal="center" vertical="center"/>
    </xf>
    <xf numFmtId="4" fontId="6" fillId="2" borderId="3" xfId="0" applyNumberFormat="1" applyFont="1" applyFill="1" applyBorder="1" applyAlignment="1">
      <alignment horizontal="center" vertical="center"/>
    </xf>
    <xf numFmtId="4" fontId="6" fillId="0" borderId="2" xfId="0" applyNumberFormat="1" applyFont="1" applyBorder="1" applyAlignment="1">
      <alignment horizontal="center" vertical="center"/>
    </xf>
    <xf numFmtId="0" fontId="0" fillId="0" borderId="0" xfId="0" applyBorder="1" applyAlignment="1">
      <alignment vertical="center"/>
    </xf>
    <xf numFmtId="0" fontId="6" fillId="0" borderId="0" xfId="0" applyFont="1" applyBorder="1" applyAlignment="1">
      <alignment horizontal="center" vertical="center" wrapText="1"/>
    </xf>
    <xf numFmtId="0" fontId="40" fillId="0" borderId="0" xfId="0" applyFont="1" applyBorder="1" applyAlignment="1">
      <alignment horizontal="center" vertical="center" wrapText="1"/>
    </xf>
    <xf numFmtId="0" fontId="41" fillId="0" borderId="17" xfId="0" applyFont="1" applyBorder="1" applyAlignment="1">
      <alignment horizontal="center" vertical="center" wrapText="1"/>
    </xf>
    <xf numFmtId="0" fontId="0" fillId="0" borderId="0" xfId="0" applyFill="1" applyBorder="1"/>
    <xf numFmtId="0" fontId="4" fillId="0" borderId="0" xfId="0" applyFont="1" applyBorder="1" applyAlignment="1">
      <alignment horizontal="left" vertical="justify" wrapText="1"/>
    </xf>
    <xf numFmtId="0" fontId="4" fillId="0" borderId="0" xfId="0" applyFont="1" applyBorder="1" applyAlignment="1">
      <alignment horizontal="center" vertical="center"/>
    </xf>
    <xf numFmtId="4" fontId="4" fillId="0" borderId="0" xfId="0" applyNumberFormat="1" applyFont="1" applyBorder="1" applyAlignment="1">
      <alignment horizontal="center" vertical="justify" wrapText="1"/>
    </xf>
    <xf numFmtId="0" fontId="2" fillId="0" borderId="0" xfId="0" applyFont="1"/>
    <xf numFmtId="0" fontId="0" fillId="0" borderId="0" xfId="0" applyBorder="1" applyAlignment="1"/>
    <xf numFmtId="4" fontId="65" fillId="0" borderId="1" xfId="0" applyNumberFormat="1" applyFont="1" applyBorder="1" applyAlignment="1">
      <alignment horizontal="center" vertical="center"/>
    </xf>
    <xf numFmtId="0" fontId="8" fillId="0" borderId="0" xfId="0" applyFont="1" applyBorder="1" applyAlignment="1">
      <alignment horizontal="left" vertical="justify" wrapText="1"/>
    </xf>
    <xf numFmtId="0" fontId="40" fillId="0" borderId="14" xfId="0" applyFont="1" applyBorder="1" applyAlignment="1">
      <alignment horizontal="center" vertical="center" wrapText="1"/>
    </xf>
    <xf numFmtId="0" fontId="40" fillId="0" borderId="1" xfId="0" applyFont="1" applyBorder="1" applyAlignment="1">
      <alignment horizontal="center" vertical="center" wrapText="1"/>
    </xf>
    <xf numFmtId="4" fontId="5" fillId="0" borderId="10" xfId="0" applyNumberFormat="1" applyFont="1" applyBorder="1" applyAlignment="1">
      <alignment horizontal="center" vertical="center"/>
    </xf>
    <xf numFmtId="4" fontId="6" fillId="0" borderId="18" xfId="0" applyNumberFormat="1" applyFont="1" applyBorder="1" applyAlignment="1">
      <alignment horizontal="center" vertical="center"/>
    </xf>
    <xf numFmtId="170" fontId="47" fillId="2" borderId="10" xfId="2" applyNumberFormat="1" applyFont="1" applyFill="1" applyBorder="1" applyAlignment="1">
      <alignment horizontal="center" vertical="center"/>
    </xf>
    <xf numFmtId="2" fontId="5" fillId="0" borderId="10" xfId="0" applyNumberFormat="1" applyFont="1" applyBorder="1" applyAlignment="1">
      <alignment horizontal="center" vertical="center"/>
    </xf>
    <xf numFmtId="0" fontId="40" fillId="0" borderId="28" xfId="0" applyFont="1" applyBorder="1" applyAlignment="1">
      <alignment horizontal="center" vertical="center" wrapText="1"/>
    </xf>
    <xf numFmtId="4" fontId="8" fillId="0" borderId="13" xfId="0" applyNumberFormat="1" applyFont="1" applyBorder="1" applyAlignment="1">
      <alignment horizontal="left" vertical="center" wrapText="1"/>
    </xf>
    <xf numFmtId="4" fontId="8" fillId="0" borderId="0" xfId="0" applyNumberFormat="1" applyFont="1" applyBorder="1" applyAlignment="1">
      <alignment horizontal="left" vertical="center" wrapText="1"/>
    </xf>
    <xf numFmtId="2" fontId="66" fillId="0" borderId="1" xfId="0" applyNumberFormat="1" applyFont="1" applyBorder="1" applyAlignment="1">
      <alignment horizontal="center" vertical="center"/>
    </xf>
    <xf numFmtId="4" fontId="66" fillId="0" borderId="1" xfId="0" applyNumberFormat="1" applyFont="1" applyBorder="1" applyAlignment="1">
      <alignment horizontal="center" vertical="center"/>
    </xf>
    <xf numFmtId="4" fontId="66" fillId="0" borderId="3" xfId="0" applyNumberFormat="1" applyFont="1" applyBorder="1" applyAlignment="1">
      <alignment horizontal="center"/>
    </xf>
    <xf numFmtId="4" fontId="4" fillId="0" borderId="9" xfId="0" applyNumberFormat="1" applyFont="1" applyBorder="1" applyAlignment="1">
      <alignment horizontal="center"/>
    </xf>
    <xf numFmtId="4" fontId="4" fillId="0" borderId="10" xfId="0" applyNumberFormat="1" applyFont="1" applyBorder="1" applyAlignment="1">
      <alignment horizontal="center"/>
    </xf>
    <xf numFmtId="4" fontId="0" fillId="0" borderId="10" xfId="0" applyNumberFormat="1" applyBorder="1"/>
    <xf numFmtId="0" fontId="0" fillId="0" borderId="18" xfId="0" applyBorder="1" applyAlignment="1">
      <alignment horizontal="center"/>
    </xf>
    <xf numFmtId="0" fontId="5" fillId="0" borderId="10" xfId="0" applyFont="1" applyBorder="1" applyAlignment="1">
      <alignment horizontal="left"/>
    </xf>
    <xf numFmtId="4" fontId="4" fillId="0" borderId="10" xfId="0" applyNumberFormat="1" applyFont="1" applyBorder="1" applyAlignment="1">
      <alignment horizontal="left" vertical="center" wrapText="1"/>
    </xf>
    <xf numFmtId="165" fontId="5" fillId="0" borderId="10" xfId="0" applyNumberFormat="1" applyFont="1" applyBorder="1" applyAlignment="1">
      <alignment horizontal="center" vertical="center"/>
    </xf>
    <xf numFmtId="2" fontId="22" fillId="0" borderId="10" xfId="0" applyNumberFormat="1" applyFont="1" applyBorder="1" applyAlignment="1">
      <alignment horizontal="center" vertical="center"/>
    </xf>
    <xf numFmtId="0" fontId="0" fillId="0" borderId="10" xfId="0" applyBorder="1"/>
    <xf numFmtId="0" fontId="5" fillId="0" borderId="10" xfId="0" applyFont="1" applyBorder="1" applyAlignment="1">
      <alignment horizontal="center"/>
    </xf>
    <xf numFmtId="4" fontId="4" fillId="0" borderId="9" xfId="0" applyNumberFormat="1" applyFont="1" applyBorder="1" applyAlignment="1">
      <alignment horizontal="left"/>
    </xf>
    <xf numFmtId="0" fontId="6" fillId="0" borderId="18" xfId="0" applyFont="1" applyBorder="1"/>
    <xf numFmtId="16" fontId="5" fillId="0" borderId="8" xfId="0" quotePrefix="1" applyNumberFormat="1" applyFont="1" applyBorder="1" applyAlignment="1">
      <alignment horizontal="center" vertical="justify" wrapText="1"/>
    </xf>
    <xf numFmtId="0" fontId="5" fillId="0" borderId="8" xfId="0" applyFont="1" applyBorder="1" applyAlignment="1">
      <alignment horizontal="center" vertical="center" wrapText="1"/>
    </xf>
    <xf numFmtId="0" fontId="5" fillId="0" borderId="0" xfId="0" applyFont="1" applyBorder="1" applyAlignment="1">
      <alignment horizontal="center"/>
    </xf>
    <xf numFmtId="0" fontId="6" fillId="0" borderId="0" xfId="0" applyFont="1" applyBorder="1"/>
    <xf numFmtId="2" fontId="6" fillId="0" borderId="10" xfId="0" applyNumberFormat="1" applyFont="1" applyBorder="1" applyAlignment="1">
      <alignment horizontal="center" vertical="center"/>
    </xf>
    <xf numFmtId="9" fontId="40" fillId="0" borderId="14" xfId="0" applyNumberFormat="1" applyFont="1" applyBorder="1" applyAlignment="1">
      <alignment horizontal="center" vertical="center" wrapText="1"/>
    </xf>
    <xf numFmtId="0" fontId="40" fillId="0" borderId="1" xfId="0" applyFont="1" applyBorder="1" applyAlignment="1">
      <alignment horizontal="center" vertical="center"/>
    </xf>
    <xf numFmtId="0" fontId="40" fillId="0" borderId="2" xfId="0" applyFont="1" applyBorder="1" applyAlignment="1">
      <alignment horizontal="center" vertical="center"/>
    </xf>
    <xf numFmtId="9" fontId="40" fillId="0" borderId="18" xfId="0" applyNumberFormat="1" applyFont="1" applyBorder="1" applyAlignment="1">
      <alignment horizontal="center" vertical="center" wrapText="1"/>
    </xf>
    <xf numFmtId="0" fontId="40" fillId="0" borderId="19" xfId="0" applyFont="1" applyBorder="1" applyAlignment="1">
      <alignment horizontal="center" vertical="center"/>
    </xf>
    <xf numFmtId="9" fontId="40" fillId="0" borderId="28" xfId="0" applyNumberFormat="1" applyFont="1" applyBorder="1" applyAlignment="1">
      <alignment horizontal="center" vertical="center" wrapText="1"/>
    </xf>
    <xf numFmtId="43" fontId="67" fillId="0" borderId="0" xfId="3" applyNumberFormat="1" applyFont="1" applyBorder="1" applyAlignment="1">
      <alignment horizontal="right" vertical="center"/>
    </xf>
    <xf numFmtId="0" fontId="5" fillId="0" borderId="6" xfId="0" applyFont="1" applyBorder="1"/>
    <xf numFmtId="0" fontId="5" fillId="0" borderId="8" xfId="0" applyFont="1" applyBorder="1"/>
    <xf numFmtId="172" fontId="6" fillId="0" borderId="7" xfId="0" applyNumberFormat="1" applyFont="1" applyBorder="1"/>
    <xf numFmtId="4" fontId="2" fillId="0" borderId="0" xfId="0" applyNumberFormat="1" applyFont="1" applyBorder="1" applyAlignment="1">
      <alignment horizontal="center" vertical="center"/>
    </xf>
    <xf numFmtId="4" fontId="8" fillId="0" borderId="0" xfId="0" applyNumberFormat="1" applyFont="1" applyBorder="1" applyAlignment="1">
      <alignment horizontal="left" vertical="center"/>
    </xf>
    <xf numFmtId="4" fontId="8" fillId="0" borderId="3" xfId="0" applyNumberFormat="1" applyFont="1" applyBorder="1" applyAlignment="1">
      <alignment horizontal="left" vertical="center"/>
    </xf>
    <xf numFmtId="4" fontId="68" fillId="0" borderId="13" xfId="0" applyNumberFormat="1" applyFont="1" applyBorder="1" applyAlignment="1">
      <alignment horizontal="left" vertical="center"/>
    </xf>
    <xf numFmtId="164" fontId="2" fillId="0" borderId="29" xfId="3" applyFont="1" applyBorder="1" applyAlignment="1">
      <alignment horizontal="right" vertical="center"/>
    </xf>
    <xf numFmtId="2" fontId="5" fillId="2" borderId="0" xfId="2" quotePrefix="1" applyNumberFormat="1" applyFont="1" applyFill="1" applyBorder="1" applyAlignment="1">
      <alignment horizontal="center" vertical="center"/>
    </xf>
    <xf numFmtId="2" fontId="28" fillId="0" borderId="10" xfId="0" applyNumberFormat="1" applyFont="1" applyBorder="1" applyAlignment="1">
      <alignment horizontal="center"/>
    </xf>
    <xf numFmtId="4" fontId="15" fillId="0" borderId="10" xfId="0" applyNumberFormat="1" applyFont="1" applyBorder="1" applyAlignment="1">
      <alignment horizontal="center" vertical="center"/>
    </xf>
    <xf numFmtId="2" fontId="22" fillId="0" borderId="14" xfId="0" applyNumberFormat="1" applyFont="1" applyBorder="1" applyAlignment="1">
      <alignment horizontal="center" vertical="center"/>
    </xf>
    <xf numFmtId="4" fontId="69" fillId="0" borderId="1" xfId="0" applyNumberFormat="1" applyFont="1" applyBorder="1" applyAlignment="1">
      <alignment horizontal="center" vertical="center"/>
    </xf>
    <xf numFmtId="0" fontId="0" fillId="0" borderId="1" xfId="0" applyBorder="1"/>
    <xf numFmtId="0" fontId="7" fillId="0" borderId="0" xfId="0" applyFont="1" applyBorder="1" applyAlignment="1">
      <alignment horizontal="left" vertical="justify" wrapText="1"/>
    </xf>
    <xf numFmtId="0" fontId="7" fillId="0" borderId="0" xfId="0" applyFont="1" applyAlignment="1">
      <alignment horizontal="left"/>
    </xf>
    <xf numFmtId="0" fontId="4" fillId="0" borderId="0" xfId="0" quotePrefix="1" applyFont="1" applyBorder="1" applyAlignment="1">
      <alignment horizontal="left"/>
    </xf>
    <xf numFmtId="0" fontId="2" fillId="0" borderId="0" xfId="0" applyFont="1" applyBorder="1" applyAlignment="1">
      <alignment horizontal="left" vertical="justify" wrapText="1"/>
    </xf>
    <xf numFmtId="0" fontId="4" fillId="0" borderId="11" xfId="0" applyFont="1" applyBorder="1" applyAlignment="1">
      <alignment horizontal="left"/>
    </xf>
    <xf numFmtId="0" fontId="4" fillId="0" borderId="12" xfId="0" applyFont="1" applyBorder="1" applyAlignment="1">
      <alignment horizontal="left"/>
    </xf>
    <xf numFmtId="0" fontId="0" fillId="0" borderId="30" xfId="0" applyBorder="1" applyAlignment="1">
      <alignment horizontal="center"/>
    </xf>
    <xf numFmtId="0" fontId="0" fillId="0" borderId="12" xfId="0" applyBorder="1"/>
    <xf numFmtId="0" fontId="8" fillId="0" borderId="12" xfId="0" applyFont="1" applyBorder="1" applyAlignment="1">
      <alignment horizontal="center"/>
    </xf>
    <xf numFmtId="0" fontId="0" fillId="0" borderId="19" xfId="0" applyBorder="1"/>
    <xf numFmtId="2" fontId="4" fillId="0" borderId="1" xfId="0" applyNumberFormat="1" applyFont="1" applyBorder="1" applyAlignment="1">
      <alignment horizontal="center" vertical="center"/>
    </xf>
    <xf numFmtId="4" fontId="7" fillId="0" borderId="0" xfId="0" applyNumberFormat="1" applyFont="1" applyBorder="1" applyAlignment="1">
      <alignment vertical="justify" wrapText="1"/>
    </xf>
    <xf numFmtId="4" fontId="7" fillId="0" borderId="0" xfId="0" applyNumberFormat="1" applyFont="1" applyBorder="1" applyAlignment="1">
      <alignment horizontal="left" vertical="justify" wrapText="1"/>
    </xf>
    <xf numFmtId="4" fontId="7" fillId="0" borderId="0" xfId="0" applyNumberFormat="1" applyFont="1" applyAlignment="1">
      <alignment horizontal="right"/>
    </xf>
    <xf numFmtId="2" fontId="4" fillId="0" borderId="12" xfId="0" applyNumberFormat="1" applyFont="1" applyBorder="1" applyAlignment="1">
      <alignment horizontal="center" vertical="center"/>
    </xf>
    <xf numFmtId="0" fontId="4" fillId="0" borderId="12" xfId="0" applyFont="1" applyBorder="1" applyAlignment="1">
      <alignment horizontal="center" vertical="center"/>
    </xf>
    <xf numFmtId="0" fontId="4" fillId="0" borderId="12" xfId="0" applyFont="1" applyBorder="1"/>
    <xf numFmtId="0" fontId="2" fillId="0" borderId="31" xfId="0" applyFont="1" applyBorder="1"/>
    <xf numFmtId="0" fontId="0" fillId="0" borderId="6" xfId="0" applyBorder="1"/>
    <xf numFmtId="4" fontId="5" fillId="0" borderId="13" xfId="0" applyNumberFormat="1" applyFont="1" applyBorder="1" applyAlignment="1">
      <alignment horizontal="center" vertical="justify" wrapText="1"/>
    </xf>
    <xf numFmtId="2" fontId="6" fillId="0" borderId="0" xfId="0" applyNumberFormat="1" applyFont="1" applyBorder="1" applyAlignment="1">
      <alignment horizontal="center" vertical="center"/>
    </xf>
    <xf numFmtId="4" fontId="65" fillId="0" borderId="27" xfId="0" applyNumberFormat="1" applyFont="1" applyBorder="1" applyAlignment="1">
      <alignment horizontal="right" vertical="center"/>
    </xf>
    <xf numFmtId="4" fontId="6" fillId="3" borderId="1" xfId="0" applyNumberFormat="1" applyFont="1" applyFill="1" applyBorder="1" applyAlignment="1">
      <alignment horizontal="center" vertical="center"/>
    </xf>
    <xf numFmtId="4" fontId="6" fillId="3" borderId="6" xfId="0" applyNumberFormat="1" applyFont="1" applyFill="1" applyBorder="1" applyAlignment="1">
      <alignment horizontal="center" vertical="center"/>
    </xf>
    <xf numFmtId="164" fontId="6" fillId="0" borderId="27" xfId="3" applyFont="1" applyBorder="1" applyAlignment="1">
      <alignment horizontal="right" vertical="center"/>
    </xf>
    <xf numFmtId="0" fontId="5" fillId="0" borderId="0" xfId="0" applyFont="1" applyBorder="1" applyAlignment="1">
      <alignment horizontal="left" vertical="center"/>
    </xf>
    <xf numFmtId="0" fontId="57" fillId="0" borderId="0" xfId="0" applyFont="1" applyBorder="1" applyAlignment="1">
      <alignment horizontal="center" vertical="justify" wrapText="1"/>
    </xf>
    <xf numFmtId="0" fontId="19" fillId="0" borderId="0" xfId="0" applyFont="1" applyBorder="1" applyAlignment="1">
      <alignment vertical="justify" wrapText="1"/>
    </xf>
    <xf numFmtId="0" fontId="19" fillId="0" borderId="3" xfId="0" applyFont="1" applyBorder="1" applyAlignment="1">
      <alignment vertical="justify" wrapText="1"/>
    </xf>
    <xf numFmtId="2" fontId="6" fillId="0" borderId="27" xfId="0" applyNumberFormat="1" applyFont="1" applyBorder="1" applyAlignment="1">
      <alignment horizontal="right" vertical="center"/>
    </xf>
    <xf numFmtId="4" fontId="19" fillId="0" borderId="13" xfId="0" applyNumberFormat="1" applyFont="1" applyBorder="1" applyAlignment="1">
      <alignment horizontal="center"/>
    </xf>
    <xf numFmtId="4" fontId="19" fillId="0" borderId="0" xfId="0" applyNumberFormat="1" applyFont="1" applyBorder="1" applyAlignment="1">
      <alignment horizontal="center"/>
    </xf>
    <xf numFmtId="0" fontId="57" fillId="0" borderId="13" xfId="0" applyFont="1" applyBorder="1" applyAlignment="1">
      <alignment horizontal="center" vertical="justify" wrapText="1"/>
    </xf>
    <xf numFmtId="4" fontId="5" fillId="0" borderId="13" xfId="0" quotePrefix="1" applyNumberFormat="1" applyFont="1" applyBorder="1" applyAlignment="1">
      <alignment horizontal="center" vertical="justify" wrapText="1"/>
    </xf>
    <xf numFmtId="4" fontId="5" fillId="4" borderId="13" xfId="0" applyNumberFormat="1" applyFont="1" applyFill="1" applyBorder="1" applyAlignment="1">
      <alignment horizontal="center" vertical="justify" wrapText="1"/>
    </xf>
    <xf numFmtId="4" fontId="5" fillId="4" borderId="0" xfId="0" applyNumberFormat="1" applyFont="1" applyFill="1" applyBorder="1" applyAlignment="1">
      <alignment horizontal="center" vertical="justify" wrapText="1"/>
    </xf>
    <xf numFmtId="0" fontId="6" fillId="4" borderId="0" xfId="0" applyFont="1" applyFill="1" applyBorder="1" applyAlignment="1">
      <alignment horizontal="center"/>
    </xf>
    <xf numFmtId="0" fontId="5" fillId="4" borderId="0" xfId="0" applyFont="1" applyFill="1" applyBorder="1"/>
    <xf numFmtId="4" fontId="4" fillId="0" borderId="6" xfId="0" quotePrefix="1" applyNumberFormat="1" applyFont="1" applyBorder="1" applyAlignment="1">
      <alignment horizontal="center" vertical="center"/>
    </xf>
    <xf numFmtId="165" fontId="5" fillId="0" borderId="0" xfId="0" applyNumberFormat="1" applyFont="1" applyAlignment="1">
      <alignment horizontal="left" vertical="center"/>
    </xf>
    <xf numFmtId="16" fontId="15" fillId="0" borderId="28" xfId="0" applyNumberFormat="1" applyFont="1" applyBorder="1" applyAlignment="1">
      <alignment horizontal="center" vertical="center"/>
    </xf>
    <xf numFmtId="0" fontId="15" fillId="0" borderId="28" xfId="0" applyFont="1" applyBorder="1" applyAlignment="1">
      <alignment horizontal="center" vertical="center"/>
    </xf>
    <xf numFmtId="4" fontId="6" fillId="3" borderId="29" xfId="0" applyNumberFormat="1" applyFont="1" applyFill="1" applyBorder="1" applyAlignment="1">
      <alignment horizontal="center" vertical="center"/>
    </xf>
    <xf numFmtId="4" fontId="2" fillId="0" borderId="26" xfId="0" applyNumberFormat="1" applyFont="1" applyBorder="1" applyAlignment="1">
      <alignment horizontal="center" vertical="center"/>
    </xf>
    <xf numFmtId="171" fontId="4" fillId="0" borderId="16" xfId="0" applyNumberFormat="1" applyFont="1" applyBorder="1" applyAlignment="1">
      <alignment horizontal="center" vertical="center"/>
    </xf>
    <xf numFmtId="164" fontId="2" fillId="0" borderId="32" xfId="3" applyFont="1" applyBorder="1" applyAlignment="1">
      <alignment horizontal="right" vertical="center"/>
    </xf>
    <xf numFmtId="0" fontId="2" fillId="0" borderId="13" xfId="0" applyFont="1" applyBorder="1" applyAlignment="1">
      <alignment horizontal="center" vertical="center"/>
    </xf>
    <xf numFmtId="0" fontId="4" fillId="0" borderId="13" xfId="0" applyFont="1" applyBorder="1" applyAlignment="1">
      <alignment horizontal="center" vertical="center"/>
    </xf>
    <xf numFmtId="2" fontId="2" fillId="0" borderId="0" xfId="0" applyNumberFormat="1" applyFont="1" applyBorder="1" applyAlignment="1">
      <alignment horizontal="left" vertical="justify" wrapText="1"/>
    </xf>
    <xf numFmtId="0" fontId="4" fillId="0" borderId="0" xfId="0" applyFont="1" applyBorder="1" applyAlignment="1">
      <alignment horizontal="center" vertical="center" wrapText="1"/>
    </xf>
    <xf numFmtId="2" fontId="2" fillId="0" borderId="0" xfId="0" applyNumberFormat="1" applyFont="1" applyBorder="1" applyAlignment="1">
      <alignment horizontal="center" vertical="justify" wrapText="1"/>
    </xf>
    <xf numFmtId="0" fontId="3" fillId="0" borderId="0" xfId="0" applyFont="1" applyAlignment="1">
      <alignment horizontal="center" vertical="center"/>
    </xf>
    <xf numFmtId="0" fontId="22" fillId="0" borderId="0" xfId="0" applyFont="1" applyAlignment="1">
      <alignment horizontal="center" vertical="center" wrapText="1"/>
    </xf>
    <xf numFmtId="4" fontId="4" fillId="0" borderId="7" xfId="0" applyNumberFormat="1" applyFont="1" applyBorder="1" applyAlignment="1">
      <alignment horizontal="center" vertical="center"/>
    </xf>
    <xf numFmtId="4" fontId="5" fillId="0" borderId="0" xfId="0" applyNumberFormat="1" applyFont="1" applyAlignment="1">
      <alignment horizontal="left"/>
    </xf>
    <xf numFmtId="2" fontId="8" fillId="0" borderId="1" xfId="0" applyNumberFormat="1" applyFont="1" applyBorder="1" applyAlignment="1">
      <alignment horizontal="center" vertical="center" wrapText="1"/>
    </xf>
    <xf numFmtId="2" fontId="2" fillId="0" borderId="7" xfId="0" applyNumberFormat="1" applyFont="1" applyBorder="1" applyAlignment="1">
      <alignment horizontal="center" vertical="center"/>
    </xf>
    <xf numFmtId="171" fontId="4" fillId="0" borderId="7" xfId="0" applyNumberFormat="1" applyFont="1" applyBorder="1" applyAlignment="1">
      <alignment horizontal="center" vertical="center"/>
    </xf>
    <xf numFmtId="2" fontId="5" fillId="0" borderId="14" xfId="0" applyNumberFormat="1" applyFont="1" applyBorder="1" applyAlignment="1">
      <alignment horizontal="center" vertical="center"/>
    </xf>
    <xf numFmtId="4" fontId="6" fillId="0" borderId="0" xfId="0" applyNumberFormat="1" applyFont="1" applyBorder="1" applyAlignment="1">
      <alignment horizontal="center" vertical="center"/>
    </xf>
    <xf numFmtId="0" fontId="5" fillId="0" borderId="12" xfId="0" applyFont="1" applyBorder="1" applyAlignment="1">
      <alignment horizontal="center" vertical="center"/>
    </xf>
    <xf numFmtId="4" fontId="6" fillId="0" borderId="12" xfId="0" applyNumberFormat="1" applyFont="1" applyBorder="1" applyAlignment="1">
      <alignment horizontal="center" vertical="center"/>
    </xf>
    <xf numFmtId="4" fontId="17" fillId="0" borderId="0" xfId="0" applyNumberFormat="1" applyFont="1" applyBorder="1" applyAlignment="1">
      <alignment horizontal="center" vertical="center"/>
    </xf>
    <xf numFmtId="4" fontId="5" fillId="0" borderId="0" xfId="0" quotePrefix="1" applyNumberFormat="1" applyFont="1" applyBorder="1" applyAlignment="1">
      <alignment horizontal="center" vertical="center"/>
    </xf>
    <xf numFmtId="4" fontId="5" fillId="0" borderId="0" xfId="0" applyNumberFormat="1" applyFont="1" applyBorder="1" applyAlignment="1">
      <alignment horizontal="right" vertical="center"/>
    </xf>
    <xf numFmtId="0" fontId="0" fillId="0" borderId="17" xfId="0" applyBorder="1" applyAlignment="1">
      <alignment horizontal="center"/>
    </xf>
    <xf numFmtId="164" fontId="6" fillId="0" borderId="17" xfId="3" applyFont="1" applyBorder="1" applyAlignment="1">
      <alignment horizontal="right" vertical="center"/>
    </xf>
    <xf numFmtId="2" fontId="6" fillId="0" borderId="17" xfId="0" applyNumberFormat="1" applyFont="1" applyBorder="1" applyAlignment="1">
      <alignment horizontal="right" vertical="center"/>
    </xf>
    <xf numFmtId="4" fontId="65" fillId="0" borderId="17" xfId="0" applyNumberFormat="1" applyFont="1" applyBorder="1" applyAlignment="1">
      <alignment horizontal="right" vertical="center"/>
    </xf>
    <xf numFmtId="2" fontId="2" fillId="0" borderId="17" xfId="0" applyNumberFormat="1" applyFont="1" applyBorder="1" applyAlignment="1">
      <alignment horizontal="right" vertical="center"/>
    </xf>
    <xf numFmtId="43" fontId="0" fillId="0" borderId="17" xfId="0" applyNumberFormat="1" applyBorder="1" applyAlignment="1">
      <alignment horizontal="center" vertical="center"/>
    </xf>
    <xf numFmtId="164" fontId="2" fillId="0" borderId="17" xfId="3" applyFont="1" applyBorder="1" applyAlignment="1">
      <alignment horizontal="right" vertical="center"/>
    </xf>
    <xf numFmtId="4" fontId="4" fillId="0" borderId="17" xfId="0" applyNumberFormat="1" applyFont="1" applyBorder="1" applyAlignment="1">
      <alignment horizontal="right" vertical="center"/>
    </xf>
    <xf numFmtId="4" fontId="4" fillId="0" borderId="33" xfId="0" quotePrefix="1" applyNumberFormat="1" applyFont="1" applyBorder="1" applyAlignment="1">
      <alignment horizontal="center" vertical="center"/>
    </xf>
    <xf numFmtId="4" fontId="4" fillId="0" borderId="16" xfId="0" quotePrefix="1" applyNumberFormat="1" applyFont="1" applyBorder="1" applyAlignment="1">
      <alignment horizontal="center" vertical="center"/>
    </xf>
    <xf numFmtId="164" fontId="2" fillId="0" borderId="25" xfId="3" applyFont="1" applyBorder="1" applyAlignment="1">
      <alignment horizontal="right" vertical="center"/>
    </xf>
    <xf numFmtId="0" fontId="5" fillId="0" borderId="3" xfId="0" applyFont="1" applyBorder="1" applyAlignment="1">
      <alignment horizontal="center" vertical="justify" wrapText="1"/>
    </xf>
    <xf numFmtId="2" fontId="65" fillId="0" borderId="1" xfId="0" applyNumberFormat="1" applyFont="1" applyBorder="1" applyAlignment="1">
      <alignment horizontal="center" vertical="center" wrapText="1"/>
    </xf>
    <xf numFmtId="0" fontId="0" fillId="0" borderId="0" xfId="0" applyAlignment="1">
      <alignment horizontal="left"/>
    </xf>
    <xf numFmtId="2" fontId="70" fillId="0" borderId="1" xfId="0" applyNumberFormat="1" applyFont="1" applyBorder="1" applyAlignment="1">
      <alignment horizontal="center" vertical="center"/>
    </xf>
    <xf numFmtId="0" fontId="71" fillId="0" borderId="0" xfId="0" applyFont="1" applyBorder="1" applyAlignment="1">
      <alignment horizontal="center"/>
    </xf>
    <xf numFmtId="0" fontId="71" fillId="0" borderId="0" xfId="0" applyFont="1" applyBorder="1"/>
    <xf numFmtId="0" fontId="71" fillId="0" borderId="16" xfId="0" applyFont="1" applyBorder="1"/>
    <xf numFmtId="4" fontId="72" fillId="0" borderId="0" xfId="0" applyNumberFormat="1" applyFont="1" applyBorder="1" applyAlignment="1">
      <alignment horizontal="center" vertical="justify" wrapText="1"/>
    </xf>
    <xf numFmtId="0" fontId="40" fillId="0" borderId="2" xfId="0" applyFont="1" applyBorder="1" applyAlignment="1">
      <alignment horizontal="center" vertical="center" wrapText="1"/>
    </xf>
    <xf numFmtId="4" fontId="4" fillId="2" borderId="0" xfId="0" applyNumberFormat="1" applyFont="1" applyFill="1" applyBorder="1" applyAlignment="1">
      <alignment horizontal="center" vertical="center"/>
    </xf>
    <xf numFmtId="2" fontId="5" fillId="0" borderId="34" xfId="0" applyNumberFormat="1" applyFont="1" applyBorder="1" applyAlignment="1">
      <alignment horizontal="center" vertical="center"/>
    </xf>
    <xf numFmtId="4" fontId="45" fillId="0" borderId="0" xfId="0" applyNumberFormat="1" applyFont="1" applyBorder="1" applyAlignment="1">
      <alignment horizontal="left" vertical="center"/>
    </xf>
    <xf numFmtId="4" fontId="65" fillId="0" borderId="0" xfId="0" applyNumberFormat="1" applyFont="1" applyAlignment="1">
      <alignment horizontal="center"/>
    </xf>
    <xf numFmtId="0" fontId="67" fillId="0" borderId="3" xfId="0" applyFont="1" applyBorder="1" applyAlignment="1">
      <alignment horizontal="center" vertical="justify" wrapText="1"/>
    </xf>
    <xf numFmtId="2" fontId="72" fillId="0" borderId="1" xfId="0" applyNumberFormat="1" applyFont="1" applyBorder="1" applyAlignment="1">
      <alignment horizontal="center" vertical="center"/>
    </xf>
    <xf numFmtId="4" fontId="72" fillId="0" borderId="0" xfId="0" applyNumberFormat="1" applyFont="1" applyBorder="1" applyAlignment="1">
      <alignment vertical="justify" wrapText="1"/>
    </xf>
    <xf numFmtId="16" fontId="15" fillId="0" borderId="2" xfId="0" applyNumberFormat="1" applyFont="1" applyBorder="1" applyAlignment="1">
      <alignment horizontal="center" vertical="center"/>
    </xf>
    <xf numFmtId="0" fontId="15" fillId="0" borderId="2" xfId="0" applyFont="1" applyBorder="1" applyAlignment="1">
      <alignment horizontal="center" vertical="center"/>
    </xf>
    <xf numFmtId="9" fontId="40" fillId="0" borderId="2" xfId="0" applyNumberFormat="1" applyFont="1" applyBorder="1" applyAlignment="1">
      <alignment horizontal="center" vertical="center" wrapText="1"/>
    </xf>
    <xf numFmtId="2" fontId="5" fillId="0" borderId="4" xfId="0" applyNumberFormat="1" applyFont="1" applyBorder="1" applyAlignment="1">
      <alignment horizontal="center" vertical="center"/>
    </xf>
    <xf numFmtId="4" fontId="4" fillId="0" borderId="10" xfId="0" applyNumberFormat="1" applyFont="1" applyBorder="1" applyAlignment="1">
      <alignment horizontal="center" vertical="center"/>
    </xf>
    <xf numFmtId="170" fontId="5" fillId="2" borderId="0" xfId="2" applyNumberFormat="1" applyFont="1" applyFill="1" applyBorder="1" applyAlignment="1">
      <alignment horizontal="center" vertical="center"/>
    </xf>
    <xf numFmtId="170" fontId="5" fillId="2" borderId="12" xfId="2" applyNumberFormat="1" applyFont="1" applyFill="1" applyBorder="1" applyAlignment="1">
      <alignment horizontal="center" vertical="center"/>
    </xf>
    <xf numFmtId="4" fontId="4" fillId="0" borderId="33" xfId="0" applyNumberFormat="1" applyFont="1" applyBorder="1" applyAlignment="1">
      <alignment horizontal="left"/>
    </xf>
    <xf numFmtId="4" fontId="5" fillId="0" borderId="16" xfId="0" quotePrefix="1" applyNumberFormat="1" applyFont="1" applyBorder="1" applyAlignment="1">
      <alignment horizontal="center" vertical="center"/>
    </xf>
    <xf numFmtId="4" fontId="5" fillId="0" borderId="16" xfId="0" applyNumberFormat="1" applyFont="1" applyBorder="1" applyAlignment="1">
      <alignment horizontal="center" vertical="center"/>
    </xf>
    <xf numFmtId="0" fontId="4" fillId="0" borderId="1" xfId="0" quotePrefix="1" applyFont="1" applyBorder="1"/>
    <xf numFmtId="2" fontId="4" fillId="0" borderId="9" xfId="0" applyNumberFormat="1" applyFont="1" applyBorder="1" applyAlignment="1">
      <alignment horizontal="center" vertical="center"/>
    </xf>
    <xf numFmtId="2" fontId="4" fillId="0" borderId="10" xfId="0" applyNumberFormat="1" applyFont="1" applyBorder="1" applyAlignment="1">
      <alignment horizontal="center" vertical="center"/>
    </xf>
    <xf numFmtId="4" fontId="2" fillId="0" borderId="10" xfId="0" applyNumberFormat="1" applyFont="1" applyBorder="1" applyAlignment="1">
      <alignment horizontal="center" vertical="center"/>
    </xf>
    <xf numFmtId="4" fontId="4" fillId="0" borderId="18" xfId="0" applyNumberFormat="1" applyFont="1" applyBorder="1" applyAlignment="1">
      <alignment horizontal="center" vertical="center"/>
    </xf>
    <xf numFmtId="165" fontId="5" fillId="0" borderId="11" xfId="0" applyNumberFormat="1" applyFont="1" applyBorder="1" applyAlignment="1">
      <alignment horizontal="center" vertical="center"/>
    </xf>
    <xf numFmtId="165" fontId="5" fillId="0" borderId="12" xfId="0" applyNumberFormat="1" applyFont="1" applyBorder="1" applyAlignment="1">
      <alignment horizontal="center" vertical="center"/>
    </xf>
    <xf numFmtId="2" fontId="6" fillId="0" borderId="12" xfId="0" applyNumberFormat="1" applyFont="1" applyBorder="1" applyAlignment="1">
      <alignment horizontal="center" vertical="center"/>
    </xf>
    <xf numFmtId="4" fontId="5" fillId="0" borderId="19" xfId="0" applyNumberFormat="1" applyFont="1" applyBorder="1" applyAlignment="1">
      <alignment horizontal="center" vertical="center"/>
    </xf>
    <xf numFmtId="4" fontId="6" fillId="0" borderId="14" xfId="0" applyNumberFormat="1" applyFont="1" applyBorder="1" applyAlignment="1">
      <alignment horizontal="center" vertical="center"/>
    </xf>
    <xf numFmtId="4" fontId="5" fillId="0" borderId="35" xfId="0" applyNumberFormat="1" applyFont="1" applyBorder="1" applyAlignment="1">
      <alignment horizontal="center" vertical="center"/>
    </xf>
    <xf numFmtId="4" fontId="0" fillId="0" borderId="7" xfId="0" applyNumberFormat="1" applyBorder="1" applyAlignment="1">
      <alignment horizontal="center"/>
    </xf>
    <xf numFmtId="4" fontId="2" fillId="0" borderId="0" xfId="0" applyNumberFormat="1" applyFont="1" applyBorder="1" applyAlignment="1">
      <alignment vertical="center"/>
    </xf>
    <xf numFmtId="4" fontId="63" fillId="0" borderId="13" xfId="0" applyNumberFormat="1" applyFont="1" applyBorder="1" applyAlignment="1">
      <alignment horizontal="left"/>
    </xf>
    <xf numFmtId="4" fontId="4" fillId="0" borderId="13" xfId="0" applyNumberFormat="1" applyFont="1" applyBorder="1" applyAlignment="1">
      <alignment horizontal="left"/>
    </xf>
    <xf numFmtId="4" fontId="72" fillId="0" borderId="13" xfId="0" applyNumberFormat="1" applyFont="1" applyBorder="1" applyAlignment="1">
      <alignment horizontal="left"/>
    </xf>
    <xf numFmtId="0" fontId="26" fillId="0" borderId="13" xfId="0" applyFont="1" applyBorder="1" applyAlignment="1">
      <alignment horizontal="center" vertical="justify" wrapText="1"/>
    </xf>
    <xf numFmtId="0" fontId="26" fillId="0" borderId="0" xfId="0" applyFont="1" applyBorder="1" applyAlignment="1">
      <alignment horizontal="center" vertical="justify" wrapText="1"/>
    </xf>
    <xf numFmtId="4" fontId="4" fillId="0" borderId="13" xfId="0" applyNumberFormat="1" applyFont="1" applyBorder="1" applyAlignment="1">
      <alignment horizontal="center" vertical="justify" wrapText="1"/>
    </xf>
    <xf numFmtId="4" fontId="63" fillId="0" borderId="13" xfId="0" applyNumberFormat="1" applyFont="1" applyBorder="1" applyAlignment="1">
      <alignment horizontal="left" vertical="center"/>
    </xf>
    <xf numFmtId="4" fontId="63" fillId="0" borderId="0" xfId="0" applyNumberFormat="1" applyFont="1" applyBorder="1" applyAlignment="1">
      <alignment horizontal="left" vertical="center"/>
    </xf>
    <xf numFmtId="4" fontId="2" fillId="0" borderId="13" xfId="0" quotePrefix="1" applyNumberFormat="1" applyFont="1" applyBorder="1" applyAlignment="1">
      <alignment horizontal="left"/>
    </xf>
    <xf numFmtId="4" fontId="48" fillId="0" borderId="13" xfId="0" applyNumberFormat="1" applyFont="1" applyBorder="1" applyAlignment="1">
      <alignment horizontal="left"/>
    </xf>
    <xf numFmtId="4" fontId="4" fillId="0" borderId="13" xfId="0" applyNumberFormat="1" applyFont="1" applyBorder="1" applyAlignment="1">
      <alignment horizontal="center"/>
    </xf>
    <xf numFmtId="4" fontId="67" fillId="0" borderId="1" xfId="0" applyNumberFormat="1" applyFont="1" applyBorder="1" applyAlignment="1">
      <alignment horizontal="center" vertical="center"/>
    </xf>
    <xf numFmtId="4" fontId="73" fillId="0" borderId="1" xfId="0" applyNumberFormat="1" applyFont="1" applyBorder="1" applyAlignment="1">
      <alignment horizontal="center" vertical="center"/>
    </xf>
    <xf numFmtId="4" fontId="6" fillId="0" borderId="26" xfId="0" applyNumberFormat="1" applyFont="1" applyBorder="1" applyAlignment="1">
      <alignment horizontal="center" vertical="center"/>
    </xf>
    <xf numFmtId="0" fontId="64" fillId="0" borderId="0" xfId="0" applyFont="1" applyAlignment="1"/>
    <xf numFmtId="0" fontId="64" fillId="0" borderId="0" xfId="0" applyFont="1" applyAlignment="1">
      <alignment horizontal="justify"/>
    </xf>
    <xf numFmtId="2" fontId="6" fillId="0" borderId="36" xfId="0" applyNumberFormat="1" applyFont="1" applyBorder="1" applyAlignment="1">
      <alignment horizontal="right" vertical="center"/>
    </xf>
    <xf numFmtId="164" fontId="6" fillId="0" borderId="4" xfId="3" applyFont="1" applyBorder="1" applyAlignment="1">
      <alignment horizontal="center" vertical="center"/>
    </xf>
    <xf numFmtId="0" fontId="19" fillId="0" borderId="9" xfId="0" applyFont="1" applyBorder="1" applyAlignment="1">
      <alignment horizontal="left" vertical="center" wrapText="1"/>
    </xf>
    <xf numFmtId="2" fontId="6" fillId="0" borderId="4" xfId="0" applyNumberFormat="1" applyFont="1" applyBorder="1" applyAlignment="1">
      <alignment horizontal="center" vertical="center"/>
    </xf>
    <xf numFmtId="4" fontId="5" fillId="0" borderId="0" xfId="0" applyNumberFormat="1" applyFont="1" applyBorder="1" applyAlignment="1">
      <alignment horizontal="center" vertical="center" wrapText="1"/>
    </xf>
    <xf numFmtId="4" fontId="6" fillId="0" borderId="17" xfId="0" applyNumberFormat="1" applyFont="1" applyBorder="1" applyAlignment="1">
      <alignment horizontal="center" vertical="center" wrapText="1"/>
    </xf>
    <xf numFmtId="0" fontId="5" fillId="0" borderId="4" xfId="0" applyFont="1" applyBorder="1" applyAlignment="1">
      <alignment horizontal="left" vertical="justify" wrapText="1"/>
    </xf>
    <xf numFmtId="2" fontId="6" fillId="0" borderId="4" xfId="0" applyNumberFormat="1" applyFont="1" applyBorder="1" applyAlignment="1">
      <alignment horizontal="center" vertical="justify" wrapText="1"/>
    </xf>
    <xf numFmtId="0" fontId="5" fillId="0" borderId="4" xfId="0" applyFont="1" applyBorder="1" applyAlignment="1">
      <alignment vertical="justify" wrapText="1"/>
    </xf>
    <xf numFmtId="4" fontId="5" fillId="0" borderId="0" xfId="0" quotePrefix="1" applyNumberFormat="1" applyFont="1" applyBorder="1" applyAlignment="1">
      <alignment horizontal="center" vertical="center" wrapText="1"/>
    </xf>
    <xf numFmtId="0" fontId="5" fillId="0" borderId="4" xfId="0" applyFont="1" applyBorder="1" applyAlignment="1">
      <alignment horizontal="center"/>
    </xf>
    <xf numFmtId="0" fontId="6" fillId="0" borderId="4" xfId="0" applyFont="1" applyBorder="1" applyAlignment="1">
      <alignment horizontal="center"/>
    </xf>
    <xf numFmtId="0" fontId="5" fillId="0" borderId="4" xfId="0" applyFont="1" applyBorder="1" applyAlignment="1">
      <alignment horizontal="center" vertical="center" wrapText="1"/>
    </xf>
    <xf numFmtId="2" fontId="5" fillId="2" borderId="0" xfId="2" applyNumberFormat="1" applyFont="1" applyFill="1" applyBorder="1" applyAlignment="1">
      <alignment horizontal="center" vertical="center"/>
    </xf>
    <xf numFmtId="164" fontId="19" fillId="0" borderId="0" xfId="3" applyFont="1" applyBorder="1" applyAlignment="1">
      <alignment horizontal="center" vertical="center"/>
    </xf>
    <xf numFmtId="164" fontId="6" fillId="0" borderId="0" xfId="3" applyFont="1" applyBorder="1" applyAlignment="1">
      <alignment horizontal="center" vertical="center"/>
    </xf>
    <xf numFmtId="2" fontId="6" fillId="0" borderId="16" xfId="0" applyNumberFormat="1" applyFont="1" applyBorder="1" applyAlignment="1">
      <alignment horizontal="center" vertical="center"/>
    </xf>
    <xf numFmtId="2" fontId="6" fillId="0" borderId="1" xfId="3" applyNumberFormat="1" applyFont="1" applyBorder="1" applyAlignment="1">
      <alignment horizontal="center" vertical="center"/>
    </xf>
    <xf numFmtId="2" fontId="5" fillId="0" borderId="1" xfId="0" applyNumberFormat="1" applyFont="1" applyBorder="1" applyAlignment="1">
      <alignment horizontal="center"/>
    </xf>
    <xf numFmtId="0" fontId="64" fillId="0" borderId="0" xfId="0" applyFont="1" applyAlignment="1">
      <alignment horizontal="center"/>
    </xf>
    <xf numFmtId="4" fontId="67" fillId="0" borderId="0" xfId="0" applyNumberFormat="1" applyFont="1" applyBorder="1" applyAlignment="1">
      <alignment horizontal="center" vertical="center"/>
    </xf>
    <xf numFmtId="4" fontId="2" fillId="0" borderId="0" xfId="0" applyNumberFormat="1" applyFont="1" applyAlignment="1">
      <alignment horizontal="left"/>
    </xf>
    <xf numFmtId="4" fontId="66" fillId="6" borderId="1" xfId="0" applyNumberFormat="1" applyFont="1" applyFill="1" applyBorder="1" applyAlignment="1">
      <alignment horizontal="center" vertical="center"/>
    </xf>
    <xf numFmtId="0" fontId="72" fillId="0" borderId="3" xfId="0" applyFont="1" applyBorder="1" applyAlignment="1">
      <alignment horizontal="center" vertical="justify" wrapText="1"/>
    </xf>
    <xf numFmtId="4" fontId="43" fillId="6" borderId="1" xfId="0" applyNumberFormat="1" applyFont="1" applyFill="1" applyBorder="1" applyAlignment="1">
      <alignment horizontal="center" vertical="center"/>
    </xf>
    <xf numFmtId="4" fontId="2" fillId="0" borderId="0" xfId="0" applyNumberFormat="1" applyFont="1" applyFill="1" applyBorder="1" applyAlignment="1">
      <alignment horizontal="center" vertical="center"/>
    </xf>
    <xf numFmtId="0" fontId="0" fillId="0" borderId="0" xfId="0"/>
    <xf numFmtId="0" fontId="31" fillId="0" borderId="6" xfId="0" applyFont="1" applyBorder="1" applyAlignment="1">
      <alignment horizontal="center" vertical="center" wrapText="1"/>
    </xf>
    <xf numFmtId="0" fontId="31" fillId="0" borderId="7" xfId="0" applyFont="1" applyBorder="1" applyAlignment="1">
      <alignment horizontal="center" vertical="center" wrapText="1"/>
    </xf>
    <xf numFmtId="0" fontId="31" fillId="0" borderId="8" xfId="0" applyFont="1" applyBorder="1" applyAlignment="1">
      <alignment horizontal="center" vertical="center" wrapText="1"/>
    </xf>
    <xf numFmtId="2" fontId="74" fillId="0" borderId="6" xfId="0" applyNumberFormat="1" applyFont="1" applyBorder="1" applyAlignment="1">
      <alignment horizontal="center" vertical="center"/>
    </xf>
    <xf numFmtId="2" fontId="74" fillId="0" borderId="7" xfId="0" applyNumberFormat="1" applyFont="1" applyBorder="1" applyAlignment="1">
      <alignment horizontal="center" vertical="center"/>
    </xf>
    <xf numFmtId="0" fontId="8" fillId="0" borderId="0" xfId="0" applyFont="1" applyBorder="1" applyAlignment="1">
      <alignment vertical="justify" wrapText="1"/>
    </xf>
    <xf numFmtId="0" fontId="8" fillId="0" borderId="3" xfId="0" applyFont="1" applyBorder="1" applyAlignment="1">
      <alignment vertical="justify" wrapText="1"/>
    </xf>
    <xf numFmtId="0" fontId="8" fillId="0" borderId="0" xfId="0" applyFont="1" applyBorder="1" applyAlignment="1">
      <alignment horizontal="left" vertical="justify" wrapText="1"/>
    </xf>
    <xf numFmtId="0" fontId="7" fillId="0" borderId="39" xfId="0" applyFont="1" applyBorder="1" applyAlignment="1">
      <alignment horizontal="center" vertical="justify" wrapText="1"/>
    </xf>
    <xf numFmtId="0" fontId="7" fillId="0" borderId="43" xfId="0" applyFont="1" applyBorder="1" applyAlignment="1">
      <alignment horizontal="center" vertical="justify" wrapText="1"/>
    </xf>
    <xf numFmtId="0" fontId="33" fillId="0" borderId="0" xfId="0" applyFont="1" applyBorder="1" applyAlignment="1">
      <alignment horizontal="left" vertical="justify" wrapText="1"/>
    </xf>
    <xf numFmtId="0" fontId="33" fillId="0" borderId="3" xfId="0" applyFont="1" applyBorder="1" applyAlignment="1">
      <alignment horizontal="left" vertical="justify" wrapText="1"/>
    </xf>
    <xf numFmtId="0" fontId="30" fillId="0" borderId="1" xfId="0" applyFont="1" applyBorder="1" applyAlignment="1">
      <alignment horizontal="center" vertical="center"/>
    </xf>
    <xf numFmtId="0" fontId="29" fillId="0" borderId="1" xfId="0" applyFont="1" applyBorder="1" applyAlignment="1">
      <alignment horizontal="center" vertical="center"/>
    </xf>
    <xf numFmtId="0" fontId="7" fillId="0" borderId="0" xfId="0" applyFont="1" applyBorder="1" applyAlignment="1">
      <alignment horizontal="left" vertical="center" wrapText="1"/>
    </xf>
    <xf numFmtId="0" fontId="2" fillId="0" borderId="0" xfId="0" applyFont="1" applyBorder="1" applyAlignment="1">
      <alignment vertical="justify" wrapText="1"/>
    </xf>
    <xf numFmtId="0" fontId="60" fillId="0" borderId="0" xfId="0" applyFont="1" applyBorder="1" applyAlignment="1">
      <alignment horizontal="left" vertical="center" wrapText="1"/>
    </xf>
    <xf numFmtId="0" fontId="33" fillId="0" borderId="0" xfId="0" applyFont="1" applyBorder="1" applyAlignment="1">
      <alignment vertical="justify" wrapText="1"/>
    </xf>
    <xf numFmtId="0" fontId="33" fillId="0" borderId="3" xfId="0" applyFont="1" applyBorder="1" applyAlignment="1">
      <alignment vertical="justify" wrapText="1"/>
    </xf>
    <xf numFmtId="0" fontId="8" fillId="0" borderId="37" xfId="0" applyFont="1" applyBorder="1" applyAlignment="1">
      <alignment horizontal="center" vertical="justify" wrapText="1"/>
    </xf>
    <xf numFmtId="0" fontId="8" fillId="0" borderId="16" xfId="0" applyFont="1" applyBorder="1" applyAlignment="1">
      <alignment horizontal="center" vertical="justify" wrapText="1"/>
    </xf>
    <xf numFmtId="0" fontId="8" fillId="0" borderId="25" xfId="0" applyFont="1" applyBorder="1" applyAlignment="1">
      <alignment horizontal="center" vertical="justify" wrapText="1"/>
    </xf>
    <xf numFmtId="0" fontId="8" fillId="0" borderId="38" xfId="0" applyFont="1" applyBorder="1" applyAlignment="1">
      <alignment horizontal="center" vertical="justify" wrapText="1"/>
    </xf>
    <xf numFmtId="0" fontId="8" fillId="0" borderId="39" xfId="0" applyFont="1" applyBorder="1" applyAlignment="1">
      <alignment horizontal="center" vertical="justify" wrapText="1"/>
    </xf>
    <xf numFmtId="0" fontId="8" fillId="0" borderId="40" xfId="0" applyFont="1" applyBorder="1" applyAlignment="1">
      <alignment horizontal="center" vertical="justify" wrapText="1"/>
    </xf>
    <xf numFmtId="0" fontId="7" fillId="0" borderId="0" xfId="0" applyFont="1" applyBorder="1" applyAlignment="1">
      <alignment horizontal="left"/>
    </xf>
    <xf numFmtId="4" fontId="7" fillId="0" borderId="0" xfId="0" applyNumberFormat="1" applyFont="1" applyBorder="1" applyAlignment="1">
      <alignment horizontal="left" vertical="justify" wrapText="1"/>
    </xf>
    <xf numFmtId="4" fontId="7" fillId="0" borderId="3" xfId="0" applyNumberFormat="1" applyFont="1" applyBorder="1" applyAlignment="1">
      <alignment horizontal="left" vertical="justify" wrapText="1"/>
    </xf>
    <xf numFmtId="0" fontId="7" fillId="0" borderId="0" xfId="0" quotePrefix="1" applyFont="1" applyBorder="1" applyAlignment="1">
      <alignment horizontal="left"/>
    </xf>
    <xf numFmtId="0" fontId="7" fillId="0" borderId="3" xfId="0" applyFont="1" applyBorder="1" applyAlignment="1">
      <alignment horizontal="left" vertical="center" wrapText="1"/>
    </xf>
    <xf numFmtId="0" fontId="7" fillId="0" borderId="0" xfId="0" applyFont="1" applyAlignment="1">
      <alignment horizontal="left"/>
    </xf>
    <xf numFmtId="0" fontId="7" fillId="0" borderId="0" xfId="0" applyFont="1" applyBorder="1" applyAlignment="1">
      <alignment horizontal="left" vertical="justify" wrapText="1"/>
    </xf>
    <xf numFmtId="0" fontId="7" fillId="0" borderId="0" xfId="0" applyFont="1" applyBorder="1" applyAlignment="1">
      <alignment vertical="justify" wrapText="1"/>
    </xf>
    <xf numFmtId="0" fontId="7" fillId="0" borderId="3" xfId="0" applyFont="1" applyBorder="1" applyAlignment="1">
      <alignment vertical="justify" wrapText="1"/>
    </xf>
    <xf numFmtId="0" fontId="7" fillId="0" borderId="0" xfId="0" applyFont="1" applyBorder="1" applyAlignment="1">
      <alignment vertical="center" wrapText="1"/>
    </xf>
    <xf numFmtId="0" fontId="7" fillId="0" borderId="3" xfId="0" applyFont="1" applyBorder="1" applyAlignment="1">
      <alignment vertical="center" wrapText="1"/>
    </xf>
    <xf numFmtId="4" fontId="7" fillId="0" borderId="0" xfId="0" applyNumberFormat="1" applyFont="1" applyBorder="1" applyAlignment="1">
      <alignment vertical="justify" wrapText="1"/>
    </xf>
    <xf numFmtId="0" fontId="8" fillId="0" borderId="0" xfId="0" applyFont="1" applyAlignment="1">
      <alignment horizontal="left" vertical="center" wrapText="1"/>
    </xf>
    <xf numFmtId="0" fontId="9" fillId="0" borderId="0" xfId="0" applyFont="1" applyBorder="1" applyAlignment="1">
      <alignment vertical="justify" wrapText="1"/>
    </xf>
    <xf numFmtId="0" fontId="9" fillId="0" borderId="3" xfId="0" applyFont="1" applyBorder="1" applyAlignment="1">
      <alignment vertical="justify" wrapText="1"/>
    </xf>
    <xf numFmtId="0" fontId="8" fillId="0" borderId="0" xfId="0" applyFont="1" applyBorder="1" applyAlignment="1">
      <alignment horizontal="center" vertical="justify" wrapText="1"/>
    </xf>
    <xf numFmtId="0" fontId="8" fillId="0" borderId="3" xfId="0" applyFont="1" applyBorder="1" applyAlignment="1">
      <alignment horizontal="center" vertical="justify" wrapText="1"/>
    </xf>
    <xf numFmtId="0" fontId="7" fillId="0" borderId="3" xfId="0" applyFont="1" applyBorder="1" applyAlignment="1">
      <alignment horizontal="left" vertical="justify" wrapText="1"/>
    </xf>
    <xf numFmtId="0" fontId="16" fillId="0" borderId="39" xfId="0" applyFont="1" applyBorder="1" applyAlignment="1">
      <alignment horizontal="center" vertical="justify" wrapText="1"/>
    </xf>
    <xf numFmtId="0" fontId="7" fillId="0" borderId="0" xfId="0" applyFont="1" applyAlignment="1">
      <alignment horizontal="left" vertical="center" wrapText="1"/>
    </xf>
    <xf numFmtId="0" fontId="10" fillId="0" borderId="0" xfId="0" applyFont="1" applyBorder="1" applyAlignment="1">
      <alignment vertical="justify" wrapText="1"/>
    </xf>
    <xf numFmtId="0" fontId="10" fillId="0" borderId="3" xfId="0" applyFont="1" applyBorder="1" applyAlignment="1">
      <alignment vertical="justify" wrapText="1"/>
    </xf>
    <xf numFmtId="0" fontId="32" fillId="0" borderId="41" xfId="0" applyFont="1" applyBorder="1" applyAlignment="1">
      <alignment horizontal="center" vertical="center" wrapText="1"/>
    </xf>
    <xf numFmtId="0" fontId="32" fillId="0" borderId="35" xfId="0" applyFont="1" applyBorder="1" applyAlignment="1">
      <alignment horizontal="center" vertical="center" wrapText="1"/>
    </xf>
    <xf numFmtId="0" fontId="32" fillId="0" borderId="42" xfId="0" applyFont="1" applyBorder="1" applyAlignment="1">
      <alignment horizontal="center" vertical="center" wrapText="1"/>
    </xf>
    <xf numFmtId="0" fontId="4" fillId="0" borderId="0" xfId="0" applyFont="1" applyAlignment="1">
      <alignment horizontal="left"/>
    </xf>
    <xf numFmtId="0" fontId="0" fillId="0" borderId="0" xfId="0"/>
    <xf numFmtId="0" fontId="0" fillId="0" borderId="3" xfId="0" applyBorder="1"/>
    <xf numFmtId="4" fontId="72" fillId="0" borderId="4" xfId="0" applyNumberFormat="1" applyFont="1" applyBorder="1" applyAlignment="1">
      <alignment horizontal="center" vertical="justify" wrapText="1"/>
    </xf>
    <xf numFmtId="4" fontId="72" fillId="0" borderId="0" xfId="0" applyNumberFormat="1" applyFont="1" applyBorder="1" applyAlignment="1">
      <alignment horizontal="center" vertical="justify" wrapText="1"/>
    </xf>
    <xf numFmtId="0" fontId="29" fillId="0" borderId="6" xfId="0" applyFont="1" applyBorder="1" applyAlignment="1">
      <alignment horizontal="center" vertical="center"/>
    </xf>
    <xf numFmtId="0" fontId="29" fillId="0" borderId="7" xfId="0" applyFont="1" applyBorder="1" applyAlignment="1">
      <alignment horizontal="center" vertical="center"/>
    </xf>
    <xf numFmtId="0" fontId="29" fillId="0" borderId="8" xfId="0" applyFont="1" applyBorder="1" applyAlignment="1">
      <alignment horizontal="center" vertical="center"/>
    </xf>
    <xf numFmtId="4" fontId="2" fillId="0" borderId="0" xfId="0" applyNumberFormat="1" applyFont="1" applyAlignment="1">
      <alignment horizontal="center"/>
    </xf>
    <xf numFmtId="4" fontId="2" fillId="0" borderId="3" xfId="0" applyNumberFormat="1" applyFont="1" applyBorder="1" applyAlignment="1">
      <alignment horizontal="center"/>
    </xf>
    <xf numFmtId="0" fontId="8" fillId="0" borderId="37"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25" xfId="0" applyFont="1" applyBorder="1" applyAlignment="1">
      <alignment horizontal="center" vertical="center" wrapText="1"/>
    </xf>
    <xf numFmtId="0" fontId="7" fillId="0" borderId="0" xfId="0" applyFont="1" applyBorder="1" applyAlignment="1">
      <alignment horizontal="center" vertical="justify" wrapText="1"/>
    </xf>
    <xf numFmtId="0" fontId="7" fillId="0" borderId="3" xfId="0" applyFont="1" applyBorder="1" applyAlignment="1">
      <alignment horizontal="center" vertical="justify" wrapText="1"/>
    </xf>
    <xf numFmtId="0" fontId="7" fillId="0" borderId="13" xfId="0" applyFont="1" applyBorder="1" applyAlignment="1">
      <alignment horizontal="left" vertical="center" wrapText="1"/>
    </xf>
    <xf numFmtId="0" fontId="7" fillId="0" borderId="13" xfId="0" applyFont="1" applyBorder="1" applyAlignment="1">
      <alignment vertical="justify" wrapText="1"/>
    </xf>
    <xf numFmtId="0" fontId="4" fillId="0" borderId="0" xfId="2" applyAlignment="1">
      <alignment horizontal="left" vertical="center" wrapText="1"/>
    </xf>
    <xf numFmtId="0" fontId="11" fillId="0" borderId="13" xfId="0" applyFont="1" applyBorder="1" applyAlignment="1">
      <alignment horizontal="left" vertical="center" wrapText="1"/>
    </xf>
    <xf numFmtId="0" fontId="11" fillId="0" borderId="0" xfId="0" applyFont="1" applyBorder="1" applyAlignment="1">
      <alignment horizontal="left" vertical="center" wrapText="1"/>
    </xf>
    <xf numFmtId="0" fontId="11" fillId="0" borderId="3" xfId="0" applyFont="1" applyBorder="1" applyAlignment="1">
      <alignment horizontal="left" vertical="center" wrapText="1"/>
    </xf>
    <xf numFmtId="0" fontId="7" fillId="0" borderId="13" xfId="0" applyFont="1" applyBorder="1" applyAlignment="1">
      <alignment horizontal="left" vertical="justify" wrapText="1"/>
    </xf>
    <xf numFmtId="0" fontId="7" fillId="0" borderId="37" xfId="0" applyFont="1" applyBorder="1" applyAlignment="1">
      <alignment horizontal="left" vertical="justify" wrapText="1"/>
    </xf>
    <xf numFmtId="0" fontId="7" fillId="0" borderId="16" xfId="0" applyFont="1" applyBorder="1" applyAlignment="1">
      <alignment horizontal="left" vertical="justify" wrapText="1"/>
    </xf>
    <xf numFmtId="0" fontId="13" fillId="0" borderId="44" xfId="0" quotePrefix="1" applyFont="1" applyBorder="1" applyAlignment="1">
      <alignment horizontal="center" vertical="center"/>
    </xf>
    <xf numFmtId="0" fontId="13" fillId="0" borderId="45" xfId="0" quotePrefix="1" applyFont="1" applyBorder="1" applyAlignment="1">
      <alignment horizontal="center" vertical="center"/>
    </xf>
    <xf numFmtId="0" fontId="13" fillId="0" borderId="46" xfId="0" quotePrefix="1" applyFont="1" applyBorder="1" applyAlignment="1">
      <alignment horizontal="center" vertical="center"/>
    </xf>
    <xf numFmtId="0" fontId="35" fillId="0" borderId="14" xfId="0" applyFont="1" applyBorder="1" applyAlignment="1">
      <alignment horizontal="center" vertical="center" wrapText="1"/>
    </xf>
    <xf numFmtId="0" fontId="35" fillId="0" borderId="2" xfId="0" applyFont="1" applyBorder="1" applyAlignment="1">
      <alignment horizontal="center" vertical="center" wrapText="1"/>
    </xf>
    <xf numFmtId="0" fontId="50" fillId="0" borderId="14" xfId="0" applyFont="1" applyBorder="1" applyAlignment="1">
      <alignment horizontal="center" vertical="center" wrapText="1"/>
    </xf>
    <xf numFmtId="0" fontId="50" fillId="0" borderId="2" xfId="0" applyFont="1" applyBorder="1" applyAlignment="1">
      <alignment horizontal="center" vertical="center" wrapText="1"/>
    </xf>
    <xf numFmtId="0" fontId="50" fillId="0" borderId="47" xfId="0" applyFont="1" applyBorder="1" applyAlignment="1">
      <alignment horizontal="center" vertical="center" wrapText="1"/>
    </xf>
    <xf numFmtId="0" fontId="50" fillId="0" borderId="36" xfId="0" applyFont="1" applyBorder="1" applyAlignment="1">
      <alignment horizontal="center" vertical="center" wrapText="1"/>
    </xf>
    <xf numFmtId="0" fontId="35" fillId="0" borderId="1" xfId="0" applyFont="1" applyBorder="1" applyAlignment="1">
      <alignment horizontal="center" vertical="center" wrapText="1"/>
    </xf>
    <xf numFmtId="0" fontId="50" fillId="0" borderId="9" xfId="0" applyFont="1" applyBorder="1" applyAlignment="1">
      <alignment horizontal="center" vertical="center" wrapText="1"/>
    </xf>
    <xf numFmtId="0" fontId="50" fillId="0" borderId="11" xfId="0" applyFont="1" applyBorder="1" applyAlignment="1">
      <alignment horizontal="center" vertical="center" wrapText="1"/>
    </xf>
    <xf numFmtId="0" fontId="8" fillId="0" borderId="48" xfId="0" applyFont="1" applyBorder="1" applyAlignment="1">
      <alignment horizontal="center" vertical="center"/>
    </xf>
    <xf numFmtId="0" fontId="8" fillId="0" borderId="45" xfId="0" applyFont="1" applyBorder="1" applyAlignment="1">
      <alignment horizontal="center" vertical="center"/>
    </xf>
    <xf numFmtId="0" fontId="8" fillId="0" borderId="49" xfId="0" applyFont="1" applyBorder="1" applyAlignment="1">
      <alignment horizontal="center" vertical="center"/>
    </xf>
    <xf numFmtId="168" fontId="5" fillId="0" borderId="20" xfId="2" applyNumberFormat="1" applyFont="1" applyFill="1" applyBorder="1" applyAlignment="1">
      <alignment horizontal="center" vertical="center" wrapText="1"/>
    </xf>
    <xf numFmtId="168" fontId="5" fillId="0" borderId="50" xfId="2" applyNumberFormat="1" applyFont="1" applyFill="1" applyBorder="1" applyAlignment="1">
      <alignment horizontal="center" vertical="center" wrapText="1"/>
    </xf>
    <xf numFmtId="0" fontId="8" fillId="0" borderId="51"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19" xfId="0" applyFont="1" applyBorder="1" applyAlignment="1">
      <alignment horizontal="center" vertical="center" wrapText="1"/>
    </xf>
    <xf numFmtId="0" fontId="0" fillId="0" borderId="0" xfId="0" applyBorder="1"/>
    <xf numFmtId="0" fontId="7" fillId="0" borderId="4" xfId="0" applyFont="1" applyBorder="1" applyAlignment="1">
      <alignment horizontal="left" vertical="center" wrapText="1"/>
    </xf>
    <xf numFmtId="2" fontId="5" fillId="0" borderId="1" xfId="0" applyNumberFormat="1" applyFont="1" applyBorder="1" applyAlignment="1">
      <alignment horizontal="center" vertical="center"/>
    </xf>
    <xf numFmtId="0" fontId="7" fillId="0" borderId="4" xfId="0" applyFont="1" applyBorder="1" applyAlignment="1">
      <alignment horizontal="left"/>
    </xf>
    <xf numFmtId="0" fontId="7" fillId="0" borderId="3" xfId="0" applyFont="1" applyBorder="1" applyAlignment="1">
      <alignment horizontal="left"/>
    </xf>
    <xf numFmtId="0" fontId="53" fillId="0" borderId="4" xfId="0" applyFont="1" applyBorder="1" applyAlignment="1">
      <alignment horizontal="left" vertical="center" wrapText="1"/>
    </xf>
    <xf numFmtId="0" fontId="53" fillId="0" borderId="0" xfId="0" applyFont="1" applyBorder="1" applyAlignment="1">
      <alignment horizontal="left" vertical="center" wrapText="1"/>
    </xf>
    <xf numFmtId="0" fontId="53" fillId="0" borderId="3" xfId="0" applyFont="1" applyBorder="1" applyAlignment="1">
      <alignment horizontal="left" vertical="center" wrapText="1"/>
    </xf>
    <xf numFmtId="0" fontId="7" fillId="0" borderId="4" xfId="0" applyFont="1" applyBorder="1" applyAlignment="1">
      <alignment horizontal="left" wrapText="1"/>
    </xf>
    <xf numFmtId="0" fontId="7" fillId="0" borderId="0" xfId="0" applyFont="1" applyBorder="1" applyAlignment="1">
      <alignment horizontal="left" wrapText="1"/>
    </xf>
    <xf numFmtId="0" fontId="7" fillId="0" borderId="3" xfId="0" applyFont="1" applyBorder="1" applyAlignment="1">
      <alignment horizontal="left" wrapText="1"/>
    </xf>
    <xf numFmtId="0" fontId="9" fillId="0" borderId="4" xfId="0" applyFont="1" applyBorder="1" applyAlignment="1">
      <alignment vertical="justify" wrapText="1"/>
    </xf>
    <xf numFmtId="0" fontId="7" fillId="0" borderId="4" xfId="0" applyFont="1" applyBorder="1" applyAlignment="1">
      <alignment vertical="justify" wrapText="1"/>
    </xf>
    <xf numFmtId="0" fontId="8" fillId="0" borderId="4" xfId="0" applyFont="1" applyBorder="1" applyAlignment="1">
      <alignment horizontal="left" vertical="center" wrapText="1"/>
    </xf>
    <xf numFmtId="0" fontId="8" fillId="0" borderId="0" xfId="0" applyFont="1" applyBorder="1" applyAlignment="1">
      <alignment horizontal="left" vertical="center" wrapText="1"/>
    </xf>
    <xf numFmtId="0" fontId="7" fillId="0" borderId="11" xfId="0" applyFont="1" applyBorder="1" applyAlignment="1">
      <alignment horizontal="left" vertical="center" wrapText="1"/>
    </xf>
    <xf numFmtId="0" fontId="7" fillId="0" borderId="12" xfId="0" applyFont="1" applyBorder="1" applyAlignment="1">
      <alignment horizontal="left" vertical="center" wrapText="1"/>
    </xf>
    <xf numFmtId="0" fontId="34" fillId="0" borderId="6" xfId="0" applyFont="1" applyBorder="1" applyAlignment="1">
      <alignment horizontal="left" vertical="center" wrapText="1"/>
    </xf>
    <xf numFmtId="0" fontId="34" fillId="0" borderId="7" xfId="0" applyFont="1" applyBorder="1" applyAlignment="1">
      <alignment horizontal="left" vertical="center" wrapText="1"/>
    </xf>
    <xf numFmtId="0" fontId="34" fillId="0" borderId="8" xfId="0" applyFont="1" applyBorder="1" applyAlignment="1">
      <alignment horizontal="left" vertical="center" wrapText="1"/>
    </xf>
    <xf numFmtId="0" fontId="5" fillId="0" borderId="6" xfId="0" applyFont="1" applyBorder="1" applyAlignment="1">
      <alignment horizontal="left" vertical="center"/>
    </xf>
    <xf numFmtId="0" fontId="5" fillId="0" borderId="7" xfId="0" applyFont="1" applyBorder="1" applyAlignment="1">
      <alignment horizontal="left" vertical="center"/>
    </xf>
    <xf numFmtId="0" fontId="5" fillId="0" borderId="8" xfId="0" applyFont="1" applyBorder="1" applyAlignment="1">
      <alignment horizontal="left" vertical="center"/>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2" fontId="15" fillId="0" borderId="6" xfId="0" quotePrefix="1" applyNumberFormat="1" applyFont="1" applyBorder="1" applyAlignment="1">
      <alignment horizontal="center" vertical="center"/>
    </xf>
    <xf numFmtId="2" fontId="15" fillId="0" borderId="7" xfId="0" quotePrefix="1" applyNumberFormat="1" applyFont="1" applyBorder="1" applyAlignment="1">
      <alignment horizontal="center" vertical="center"/>
    </xf>
    <xf numFmtId="2" fontId="15" fillId="0" borderId="8" xfId="0" quotePrefix="1" applyNumberFormat="1" applyFont="1" applyBorder="1" applyAlignment="1">
      <alignment horizontal="center" vertical="center"/>
    </xf>
    <xf numFmtId="0" fontId="55" fillId="0" borderId="9" xfId="0" applyFont="1" applyBorder="1" applyAlignment="1">
      <alignment horizontal="center" vertical="center" wrapText="1"/>
    </xf>
    <xf numFmtId="0" fontId="55" fillId="0" borderId="11" xfId="0" applyFont="1" applyBorder="1" applyAlignment="1">
      <alignment horizontal="center" vertical="center" wrapText="1"/>
    </xf>
    <xf numFmtId="0" fontId="6" fillId="0" borderId="6" xfId="0" applyNumberFormat="1" applyFont="1" applyBorder="1" applyAlignment="1">
      <alignment horizontal="center" vertical="center" wrapText="1"/>
    </xf>
    <xf numFmtId="0" fontId="6" fillId="0" borderId="7" xfId="0" applyNumberFormat="1" applyFont="1" applyBorder="1" applyAlignment="1">
      <alignment horizontal="center" vertical="center" wrapText="1"/>
    </xf>
    <xf numFmtId="0" fontId="6" fillId="0" borderId="8" xfId="0" applyNumberFormat="1" applyFont="1" applyBorder="1" applyAlignment="1">
      <alignment horizontal="center" vertical="center" wrapText="1"/>
    </xf>
    <xf numFmtId="0" fontId="15" fillId="0" borderId="1" xfId="0" applyNumberFormat="1" applyFont="1" applyBorder="1" applyAlignment="1">
      <alignment horizontal="center" vertical="center"/>
    </xf>
    <xf numFmtId="0" fontId="6" fillId="0" borderId="14" xfId="0" applyFont="1" applyBorder="1" applyAlignment="1">
      <alignment horizontal="center" vertical="center" wrapText="1"/>
    </xf>
    <xf numFmtId="0" fontId="6" fillId="0" borderId="2" xfId="0" applyFont="1" applyBorder="1" applyAlignment="1">
      <alignment horizontal="center" vertical="center" wrapText="1"/>
    </xf>
    <xf numFmtId="0" fontId="40" fillId="0" borderId="14" xfId="0" applyFont="1" applyBorder="1" applyAlignment="1">
      <alignment horizontal="center" vertical="center" wrapText="1"/>
    </xf>
    <xf numFmtId="0" fontId="40" fillId="0" borderId="2" xfId="0" applyFont="1" applyBorder="1" applyAlignment="1">
      <alignment horizontal="center" vertical="center" wrapText="1"/>
    </xf>
    <xf numFmtId="0" fontId="8" fillId="0" borderId="6" xfId="0" applyFont="1" applyBorder="1" applyAlignment="1">
      <alignment horizontal="center" vertical="justify" wrapText="1"/>
    </xf>
    <xf numFmtId="0" fontId="8" fillId="0" borderId="7" xfId="0" applyFont="1" applyBorder="1" applyAlignment="1">
      <alignment horizontal="center" vertical="justify" wrapText="1"/>
    </xf>
    <xf numFmtId="0" fontId="8" fillId="0" borderId="8" xfId="0" applyFont="1" applyBorder="1" applyAlignment="1">
      <alignment horizontal="center" vertical="justify" wrapText="1"/>
    </xf>
    <xf numFmtId="0" fontId="11" fillId="0" borderId="6"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6" xfId="0" applyNumberFormat="1" applyFont="1" applyBorder="1" applyAlignment="1">
      <alignment horizontal="left" vertical="center" wrapText="1"/>
    </xf>
    <xf numFmtId="0" fontId="4" fillId="0" borderId="7" xfId="0" applyNumberFormat="1" applyFont="1" applyBorder="1" applyAlignment="1">
      <alignment horizontal="left" vertical="center" wrapText="1"/>
    </xf>
    <xf numFmtId="0" fontId="4" fillId="0" borderId="8" xfId="0" applyNumberFormat="1" applyFont="1" applyBorder="1" applyAlignment="1">
      <alignment horizontal="left" vertical="center" wrapText="1"/>
    </xf>
    <xf numFmtId="0" fontId="4" fillId="0" borderId="1" xfId="0" applyNumberFormat="1" applyFont="1" applyBorder="1" applyAlignment="1">
      <alignment horizontal="left" vertical="center" wrapText="1"/>
    </xf>
    <xf numFmtId="9" fontId="40" fillId="0" borderId="14" xfId="0" applyNumberFormat="1" applyFont="1" applyBorder="1" applyAlignment="1">
      <alignment horizontal="center" vertical="center" wrapText="1"/>
    </xf>
    <xf numFmtId="9" fontId="40" fillId="0" borderId="2" xfId="0" applyNumberFormat="1" applyFont="1" applyBorder="1" applyAlignment="1">
      <alignment horizontal="center" vertical="center" wrapText="1"/>
    </xf>
    <xf numFmtId="2" fontId="15" fillId="0" borderId="52" xfId="0" quotePrefix="1" applyNumberFormat="1" applyFont="1" applyBorder="1" applyAlignment="1">
      <alignment horizontal="center" vertical="center"/>
    </xf>
    <xf numFmtId="2" fontId="15" fillId="0" borderId="53" xfId="0" quotePrefix="1" applyNumberFormat="1" applyFont="1" applyBorder="1" applyAlignment="1">
      <alignment horizontal="center" vertical="center"/>
    </xf>
    <xf numFmtId="2" fontId="15" fillId="0" borderId="54" xfId="0" quotePrefix="1" applyNumberFormat="1" applyFont="1" applyBorder="1" applyAlignment="1">
      <alignment horizontal="center" vertical="center"/>
    </xf>
    <xf numFmtId="0" fontId="11" fillId="0" borderId="33" xfId="0" applyFont="1" applyBorder="1" applyAlignment="1">
      <alignment horizontal="center" vertical="justify" wrapText="1"/>
    </xf>
    <xf numFmtId="0" fontId="11" fillId="0" borderId="16" xfId="0" applyFont="1" applyBorder="1" applyAlignment="1">
      <alignment horizontal="center" vertical="justify" wrapText="1"/>
    </xf>
    <xf numFmtId="0" fontId="11" fillId="0" borderId="25" xfId="0" applyFont="1" applyBorder="1" applyAlignment="1">
      <alignment horizontal="center" vertical="justify" wrapText="1"/>
    </xf>
    <xf numFmtId="0" fontId="8" fillId="0" borderId="9" xfId="0" applyFont="1" applyBorder="1" applyAlignment="1">
      <alignment horizontal="center" vertical="justify" wrapText="1"/>
    </xf>
    <xf numFmtId="0" fontId="8" fillId="0" borderId="10" xfId="0" applyFont="1" applyBorder="1" applyAlignment="1">
      <alignment horizontal="center" vertical="justify" wrapText="1"/>
    </xf>
    <xf numFmtId="0" fontId="8" fillId="0" borderId="58" xfId="0" applyFont="1" applyBorder="1" applyAlignment="1">
      <alignment horizontal="center" vertical="justify" wrapText="1"/>
    </xf>
    <xf numFmtId="0" fontId="55" fillId="0" borderId="14" xfId="0" applyFont="1" applyBorder="1" applyAlignment="1">
      <alignment horizontal="center" vertical="center" wrapText="1"/>
    </xf>
    <xf numFmtId="0" fontId="55" fillId="0" borderId="2" xfId="0" applyFont="1" applyBorder="1" applyAlignment="1">
      <alignment horizontal="center" vertical="center" wrapText="1"/>
    </xf>
    <xf numFmtId="2" fontId="5" fillId="0" borderId="10" xfId="0" applyNumberFormat="1" applyFont="1" applyBorder="1" applyAlignment="1">
      <alignment horizontal="center" vertical="center"/>
    </xf>
    <xf numFmtId="2" fontId="5" fillId="0" borderId="0" xfId="0" applyNumberFormat="1" applyFont="1" applyBorder="1" applyAlignment="1">
      <alignment horizontal="center" vertical="center"/>
    </xf>
    <xf numFmtId="0" fontId="53" fillId="0" borderId="4" xfId="0" applyFont="1" applyBorder="1" applyAlignment="1">
      <alignment vertical="center" wrapText="1"/>
    </xf>
    <xf numFmtId="0" fontId="53" fillId="0" borderId="0" xfId="0" applyFont="1" applyBorder="1" applyAlignment="1">
      <alignment vertical="center" wrapText="1"/>
    </xf>
    <xf numFmtId="0" fontId="53" fillId="0" borderId="3" xfId="0" applyFont="1" applyBorder="1" applyAlignment="1">
      <alignment vertical="center" wrapText="1"/>
    </xf>
    <xf numFmtId="0" fontId="8" fillId="0" borderId="4" xfId="0" applyFont="1" applyBorder="1" applyAlignment="1">
      <alignment vertical="justify" wrapText="1"/>
    </xf>
    <xf numFmtId="0" fontId="7" fillId="0" borderId="4" xfId="0" applyFont="1" applyBorder="1" applyAlignment="1">
      <alignment horizontal="left" vertical="justify" wrapText="1"/>
    </xf>
    <xf numFmtId="0" fontId="7" fillId="2" borderId="4" xfId="0" applyFont="1" applyFill="1" applyBorder="1" applyAlignment="1">
      <alignment horizontal="left" vertical="center" wrapText="1"/>
    </xf>
    <xf numFmtId="0" fontId="7" fillId="2" borderId="0" xfId="0" applyFont="1" applyFill="1" applyBorder="1" applyAlignment="1">
      <alignment horizontal="left" vertical="center" wrapText="1"/>
    </xf>
    <xf numFmtId="0" fontId="7" fillId="2" borderId="3" xfId="0" applyFont="1" applyFill="1" applyBorder="1" applyAlignment="1">
      <alignment horizontal="left" vertical="center" wrapText="1"/>
    </xf>
    <xf numFmtId="0" fontId="7" fillId="0" borderId="56" xfId="0" applyFont="1" applyBorder="1" applyAlignment="1">
      <alignment horizontal="left" vertical="justify" wrapText="1"/>
    </xf>
    <xf numFmtId="0" fontId="7" fillId="0" borderId="39" xfId="0" applyFont="1" applyBorder="1" applyAlignment="1">
      <alignment horizontal="left" vertical="justify" wrapText="1"/>
    </xf>
    <xf numFmtId="0" fontId="7" fillId="0" borderId="43" xfId="0" applyFont="1" applyBorder="1" applyAlignment="1">
      <alignment horizontal="left" vertical="justify" wrapText="1"/>
    </xf>
    <xf numFmtId="2" fontId="5" fillId="0" borderId="59" xfId="0" applyNumberFormat="1" applyFont="1" applyBorder="1" applyAlignment="1">
      <alignment horizontal="center" vertical="center"/>
    </xf>
    <xf numFmtId="2" fontId="5" fillId="0" borderId="2" xfId="0" applyNumberFormat="1" applyFont="1" applyBorder="1" applyAlignment="1">
      <alignment horizontal="center" vertical="center"/>
    </xf>
    <xf numFmtId="2" fontId="5" fillId="0" borderId="9" xfId="0" applyNumberFormat="1" applyFont="1" applyBorder="1" applyAlignment="1">
      <alignment horizontal="center" vertical="center"/>
    </xf>
    <xf numFmtId="2" fontId="5" fillId="0" borderId="4" xfId="0" applyNumberFormat="1" applyFont="1" applyBorder="1" applyAlignment="1">
      <alignment horizontal="center" vertical="center"/>
    </xf>
    <xf numFmtId="4" fontId="5" fillId="0" borderId="10" xfId="0" applyNumberFormat="1" applyFont="1" applyBorder="1" applyAlignment="1">
      <alignment horizontal="center" vertical="center"/>
    </xf>
    <xf numFmtId="4" fontId="5" fillId="0" borderId="0" xfId="0" applyNumberFormat="1" applyFont="1" applyBorder="1" applyAlignment="1">
      <alignment horizontal="center" vertical="center"/>
    </xf>
    <xf numFmtId="4" fontId="4" fillId="0" borderId="11" xfId="0" applyNumberFormat="1" applyFont="1" applyBorder="1" applyAlignment="1">
      <alignment horizontal="left" vertical="center" wrapText="1"/>
    </xf>
    <xf numFmtId="4" fontId="4" fillId="0" borderId="12" xfId="0" applyNumberFormat="1" applyFont="1" applyBorder="1" applyAlignment="1">
      <alignment horizontal="left" vertical="center" wrapText="1"/>
    </xf>
    <xf numFmtId="4" fontId="4" fillId="0" borderId="19" xfId="0" applyNumberFormat="1" applyFont="1" applyBorder="1" applyAlignment="1">
      <alignment horizontal="left" vertical="center" wrapText="1"/>
    </xf>
    <xf numFmtId="170" fontId="5" fillId="2" borderId="10" xfId="2" applyNumberFormat="1" applyFont="1" applyFill="1" applyBorder="1" applyAlignment="1">
      <alignment horizontal="center" vertical="center"/>
    </xf>
    <xf numFmtId="170" fontId="5" fillId="2" borderId="0" xfId="2" applyNumberFormat="1" applyFont="1" applyFill="1" applyBorder="1" applyAlignment="1">
      <alignment horizontal="center" vertical="center"/>
    </xf>
    <xf numFmtId="4" fontId="6" fillId="0" borderId="18" xfId="0" applyNumberFormat="1" applyFont="1" applyBorder="1" applyAlignment="1">
      <alignment horizontal="center" vertical="center"/>
    </xf>
    <xf numFmtId="4" fontId="6" fillId="0" borderId="3" xfId="0" applyNumberFormat="1" applyFont="1" applyBorder="1" applyAlignment="1">
      <alignment horizontal="center" vertical="center"/>
    </xf>
    <xf numFmtId="4" fontId="4" fillId="0" borderId="10" xfId="0" applyNumberFormat="1" applyFont="1" applyBorder="1" applyAlignment="1">
      <alignment horizontal="center" vertical="center"/>
    </xf>
    <xf numFmtId="4" fontId="4" fillId="0" borderId="0" xfId="0" applyNumberFormat="1" applyFont="1" applyBorder="1" applyAlignment="1">
      <alignment horizontal="center" vertical="center"/>
    </xf>
    <xf numFmtId="0" fontId="22" fillId="0" borderId="14" xfId="0" applyFont="1" applyBorder="1" applyAlignment="1">
      <alignment horizontal="center" vertical="center" wrapText="1"/>
    </xf>
    <xf numFmtId="0" fontId="22" fillId="0" borderId="2" xfId="0" applyFont="1" applyBorder="1" applyAlignment="1">
      <alignment horizontal="center" vertical="center" wrapText="1"/>
    </xf>
    <xf numFmtId="4" fontId="4" fillId="0" borderId="4" xfId="0" applyNumberFormat="1" applyFont="1" applyBorder="1" applyAlignment="1">
      <alignment horizontal="left" vertical="justify" wrapText="1"/>
    </xf>
    <xf numFmtId="4" fontId="4" fillId="0" borderId="0" xfId="0" applyNumberFormat="1" applyFont="1" applyBorder="1" applyAlignment="1">
      <alignment horizontal="left" vertical="justify" wrapText="1"/>
    </xf>
    <xf numFmtId="4" fontId="4" fillId="0" borderId="4" xfId="0" applyNumberFormat="1" applyFont="1" applyBorder="1" applyAlignment="1">
      <alignment horizontal="left" vertical="center" wrapText="1"/>
    </xf>
    <xf numFmtId="4" fontId="4" fillId="0" borderId="0" xfId="0" applyNumberFormat="1" applyFont="1" applyBorder="1" applyAlignment="1">
      <alignment horizontal="left" vertical="center" wrapText="1"/>
    </xf>
    <xf numFmtId="4" fontId="4" fillId="0" borderId="3" xfId="0" applyNumberFormat="1" applyFont="1" applyBorder="1" applyAlignment="1">
      <alignment horizontal="left" vertical="center" wrapText="1"/>
    </xf>
    <xf numFmtId="0" fontId="8" fillId="0" borderId="48" xfId="0" applyFont="1" applyBorder="1" applyAlignment="1">
      <alignment horizontal="center" vertical="justify" wrapText="1"/>
    </xf>
    <xf numFmtId="0" fontId="8" fillId="0" borderId="45" xfId="0" applyFont="1" applyBorder="1" applyAlignment="1">
      <alignment horizontal="center" vertical="justify" wrapText="1"/>
    </xf>
    <xf numFmtId="0" fontId="8" fillId="0" borderId="46" xfId="0" applyFont="1" applyBorder="1" applyAlignment="1">
      <alignment horizontal="center" vertical="justify" wrapText="1"/>
    </xf>
    <xf numFmtId="0" fontId="16" fillId="0" borderId="33" xfId="0" applyFont="1" applyBorder="1" applyAlignment="1">
      <alignment horizontal="center" vertical="justify" wrapText="1"/>
    </xf>
    <xf numFmtId="0" fontId="16" fillId="0" borderId="16" xfId="0" applyFont="1" applyBorder="1" applyAlignment="1">
      <alignment horizontal="center" vertical="justify" wrapText="1"/>
    </xf>
    <xf numFmtId="0" fontId="8" fillId="0" borderId="57" xfId="0" applyFont="1" applyBorder="1" applyAlignment="1">
      <alignment horizontal="center" vertical="center" wrapText="1"/>
    </xf>
    <xf numFmtId="0" fontId="8" fillId="0" borderId="35" xfId="0" applyFont="1" applyBorder="1" applyAlignment="1">
      <alignment horizontal="center" vertical="center" wrapText="1"/>
    </xf>
    <xf numFmtId="0" fontId="8" fillId="0" borderId="42" xfId="0" applyFont="1" applyBorder="1" applyAlignment="1">
      <alignment horizontal="center" vertical="center" wrapText="1"/>
    </xf>
    <xf numFmtId="4" fontId="4" fillId="0" borderId="9" xfId="0" applyNumberFormat="1" applyFont="1" applyBorder="1" applyAlignment="1">
      <alignment horizontal="left" vertical="center" wrapText="1"/>
    </xf>
    <xf numFmtId="4" fontId="4" fillId="0" borderId="10" xfId="0" applyNumberFormat="1" applyFont="1" applyBorder="1" applyAlignment="1">
      <alignment horizontal="left" vertical="center" wrapText="1"/>
    </xf>
    <xf numFmtId="0" fontId="2" fillId="0" borderId="37" xfId="0" applyFont="1" applyBorder="1" applyAlignment="1">
      <alignment horizontal="center" vertical="justify" wrapText="1"/>
    </xf>
    <xf numFmtId="0" fontId="2" fillId="0" borderId="16" xfId="0" applyFont="1" applyBorder="1" applyAlignment="1">
      <alignment horizontal="center" vertical="justify" wrapText="1"/>
    </xf>
    <xf numFmtId="0" fontId="11" fillId="0" borderId="38" xfId="0" applyFont="1" applyBorder="1" applyAlignment="1">
      <alignment horizontal="center" vertical="justify" wrapText="1"/>
    </xf>
    <xf numFmtId="0" fontId="11" fillId="0" borderId="39" xfId="0" applyFont="1" applyBorder="1" applyAlignment="1">
      <alignment horizontal="center" vertical="justify" wrapText="1"/>
    </xf>
    <xf numFmtId="0" fontId="8" fillId="0" borderId="56" xfId="0" applyFont="1" applyBorder="1" applyAlignment="1">
      <alignment horizontal="center" vertical="justify" wrapText="1"/>
    </xf>
    <xf numFmtId="0" fontId="6" fillId="0" borderId="14" xfId="0" applyFont="1" applyBorder="1" applyAlignment="1">
      <alignment horizontal="center" vertical="center"/>
    </xf>
    <xf numFmtId="0" fontId="6" fillId="0" borderId="2" xfId="0" applyFont="1" applyBorder="1" applyAlignment="1">
      <alignment horizontal="center" vertical="center"/>
    </xf>
    <xf numFmtId="0" fontId="14" fillId="0" borderId="6" xfId="0" quotePrefix="1" applyFont="1" applyBorder="1" applyAlignment="1">
      <alignment horizontal="center" vertical="center"/>
    </xf>
    <xf numFmtId="0" fontId="14" fillId="0" borderId="7" xfId="0" quotePrefix="1" applyFont="1" applyBorder="1" applyAlignment="1">
      <alignment horizontal="center" vertical="center"/>
    </xf>
    <xf numFmtId="0" fontId="14" fillId="0" borderId="8" xfId="0" quotePrefix="1" applyFont="1" applyBorder="1" applyAlignment="1">
      <alignment horizontal="center" vertical="center"/>
    </xf>
    <xf numFmtId="0" fontId="56" fillId="0" borderId="2" xfId="0" applyFont="1" applyBorder="1" applyAlignment="1">
      <alignment horizontal="center" vertical="center" wrapText="1"/>
    </xf>
    <xf numFmtId="0" fontId="11" fillId="0" borderId="4" xfId="0" applyFont="1" applyBorder="1" applyAlignment="1">
      <alignment horizontal="left" vertical="justify" wrapText="1"/>
    </xf>
    <xf numFmtId="0" fontId="11" fillId="0" borderId="0" xfId="0" applyFont="1" applyBorder="1" applyAlignment="1">
      <alignment horizontal="left" vertical="justify" wrapText="1"/>
    </xf>
    <xf numFmtId="0" fontId="11" fillId="0" borderId="3" xfId="0" applyFont="1" applyBorder="1" applyAlignment="1">
      <alignment horizontal="left" vertical="justify" wrapText="1"/>
    </xf>
    <xf numFmtId="0" fontId="11" fillId="0" borderId="55" xfId="0" applyFont="1" applyBorder="1" applyAlignment="1">
      <alignment horizontal="center" vertical="justify" wrapText="1"/>
    </xf>
    <xf numFmtId="0" fontId="11" fillId="0" borderId="53" xfId="0" applyFont="1" applyBorder="1" applyAlignment="1">
      <alignment horizontal="center" vertical="justify" wrapText="1"/>
    </xf>
    <xf numFmtId="0" fontId="11" fillId="0" borderId="54" xfId="0" applyFont="1" applyBorder="1" applyAlignment="1">
      <alignment horizontal="center" vertical="justify" wrapText="1"/>
    </xf>
    <xf numFmtId="0" fontId="13" fillId="0" borderId="6"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1" fillId="0" borderId="0" xfId="0" applyFont="1" applyBorder="1" applyAlignment="1">
      <alignment horizontal="center" vertical="justify" wrapText="1"/>
    </xf>
    <xf numFmtId="0" fontId="8" fillId="0" borderId="33" xfId="0" applyFont="1" applyBorder="1" applyAlignment="1">
      <alignment horizontal="center" vertical="justify" wrapText="1"/>
    </xf>
    <xf numFmtId="2" fontId="5" fillId="0" borderId="14" xfId="0" applyNumberFormat="1" applyFont="1" applyBorder="1" applyAlignment="1">
      <alignment horizontal="center" vertical="center"/>
    </xf>
    <xf numFmtId="0" fontId="14" fillId="0" borderId="52" xfId="0" applyFont="1" applyBorder="1" applyAlignment="1">
      <alignment horizontal="center" vertical="center"/>
    </xf>
    <xf numFmtId="0" fontId="14" fillId="0" borderId="53" xfId="0" applyFont="1" applyBorder="1" applyAlignment="1">
      <alignment horizontal="center" vertical="center"/>
    </xf>
    <xf numFmtId="0" fontId="14" fillId="0" borderId="54" xfId="0" applyFont="1" applyBorder="1" applyAlignment="1">
      <alignment horizontal="center" vertical="center"/>
    </xf>
    <xf numFmtId="0" fontId="40" fillId="0" borderId="1" xfId="0" applyFont="1" applyBorder="1" applyAlignment="1">
      <alignment horizontal="center" vertical="center" wrapText="1"/>
    </xf>
    <xf numFmtId="9" fontId="40" fillId="0" borderId="59" xfId="0" applyNumberFormat="1" applyFont="1" applyBorder="1" applyAlignment="1">
      <alignment horizontal="center" vertical="center" wrapText="1"/>
    </xf>
    <xf numFmtId="0" fontId="59" fillId="0" borderId="55" xfId="0" applyFont="1" applyBorder="1" applyAlignment="1">
      <alignment horizontal="center" vertical="center"/>
    </xf>
    <xf numFmtId="0" fontId="59" fillId="0" borderId="53" xfId="0" applyFont="1" applyBorder="1" applyAlignment="1">
      <alignment horizontal="center" vertical="center"/>
    </xf>
    <xf numFmtId="0" fontId="59" fillId="0" borderId="60" xfId="0" applyFont="1" applyBorder="1" applyAlignment="1">
      <alignment horizontal="center" vertical="center"/>
    </xf>
    <xf numFmtId="4" fontId="2" fillId="0" borderId="6" xfId="0" applyNumberFormat="1" applyFont="1" applyBorder="1" applyAlignment="1">
      <alignment horizontal="center" vertical="center"/>
    </xf>
    <xf numFmtId="4" fontId="2" fillId="0" borderId="7" xfId="0" applyNumberFormat="1" applyFont="1" applyBorder="1" applyAlignment="1">
      <alignment horizontal="center" vertical="center"/>
    </xf>
    <xf numFmtId="4" fontId="2" fillId="0" borderId="8" xfId="0" applyNumberFormat="1" applyFont="1" applyBorder="1" applyAlignment="1">
      <alignment horizontal="center" vertical="center"/>
    </xf>
    <xf numFmtId="0" fontId="11" fillId="0" borderId="38" xfId="0" applyFont="1" applyBorder="1" applyAlignment="1">
      <alignment horizontal="center" vertical="center" wrapText="1"/>
    </xf>
    <xf numFmtId="0" fontId="11" fillId="0" borderId="39" xfId="0" applyFont="1" applyBorder="1" applyAlignment="1">
      <alignment horizontal="center" vertical="center" wrapText="1"/>
    </xf>
    <xf numFmtId="0" fontId="11" fillId="0" borderId="43" xfId="0" applyFont="1" applyBorder="1" applyAlignment="1">
      <alignment horizontal="center" vertical="center" wrapText="1"/>
    </xf>
    <xf numFmtId="0" fontId="11" fillId="0" borderId="30"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9" xfId="0" applyFont="1" applyBorder="1" applyAlignment="1">
      <alignment horizontal="center" vertical="center" wrapText="1"/>
    </xf>
    <xf numFmtId="0" fontId="41" fillId="0" borderId="36" xfId="0" applyFont="1" applyBorder="1" applyAlignment="1">
      <alignment horizontal="center" vertical="center" wrapText="1"/>
    </xf>
    <xf numFmtId="0" fontId="41" fillId="0" borderId="29" xfId="0" applyFont="1" applyBorder="1" applyAlignment="1">
      <alignment horizontal="center" vertical="center" wrapText="1"/>
    </xf>
    <xf numFmtId="0" fontId="6" fillId="0" borderId="1" xfId="0" applyFont="1" applyBorder="1" applyAlignment="1">
      <alignment horizontal="center" vertical="center" wrapText="1"/>
    </xf>
    <xf numFmtId="4" fontId="2" fillId="0" borderId="13" xfId="0" applyNumberFormat="1" applyFont="1" applyBorder="1" applyAlignment="1">
      <alignment horizontal="left" vertical="center" wrapText="1"/>
    </xf>
    <xf numFmtId="4" fontId="2" fillId="0" borderId="0" xfId="0" applyNumberFormat="1" applyFont="1" applyBorder="1" applyAlignment="1">
      <alignment horizontal="left" vertical="center" wrapText="1"/>
    </xf>
    <xf numFmtId="0" fontId="40" fillId="0" borderId="34" xfId="0" applyFont="1" applyBorder="1" applyAlignment="1">
      <alignment horizontal="center" vertical="center" wrapText="1"/>
    </xf>
    <xf numFmtId="0" fontId="6" fillId="0" borderId="1" xfId="0" applyFont="1" applyBorder="1" applyAlignment="1">
      <alignment horizontal="center" vertical="center"/>
    </xf>
    <xf numFmtId="4" fontId="2" fillId="0" borderId="13" xfId="0" quotePrefix="1" applyNumberFormat="1" applyFont="1" applyBorder="1" applyAlignment="1">
      <alignment horizontal="center" vertical="center" wrapText="1"/>
    </xf>
    <xf numFmtId="4" fontId="2" fillId="0" borderId="0" xfId="0" quotePrefix="1" applyNumberFormat="1" applyFont="1" applyBorder="1" applyAlignment="1">
      <alignment horizontal="center" vertical="center" wrapText="1"/>
    </xf>
    <xf numFmtId="4" fontId="2" fillId="0" borderId="3" xfId="0" quotePrefix="1" applyNumberFormat="1" applyFont="1" applyBorder="1" applyAlignment="1">
      <alignment horizontal="center" vertical="center" wrapText="1"/>
    </xf>
    <xf numFmtId="2" fontId="4" fillId="0" borderId="0" xfId="0" applyNumberFormat="1" applyFont="1" applyBorder="1" applyAlignment="1">
      <alignment horizontal="center" vertical="center"/>
    </xf>
    <xf numFmtId="4" fontId="4" fillId="0" borderId="13" xfId="0" applyNumberFormat="1" applyFont="1" applyBorder="1" applyAlignment="1">
      <alignment horizontal="left" vertical="center" wrapText="1"/>
    </xf>
    <xf numFmtId="4" fontId="65" fillId="6" borderId="6" xfId="0" quotePrefix="1" applyNumberFormat="1" applyFont="1" applyFill="1" applyBorder="1" applyAlignment="1">
      <alignment horizontal="center" vertical="center" wrapText="1"/>
    </xf>
    <xf numFmtId="4" fontId="65" fillId="6" borderId="8" xfId="0" quotePrefix="1" applyNumberFormat="1" applyFont="1" applyFill="1" applyBorder="1" applyAlignment="1">
      <alignment horizontal="center" vertical="center" wrapText="1"/>
    </xf>
    <xf numFmtId="4" fontId="11" fillId="0" borderId="13" xfId="0" applyNumberFormat="1" applyFont="1" applyBorder="1" applyAlignment="1">
      <alignment horizontal="left" vertical="center" wrapText="1"/>
    </xf>
    <xf numFmtId="4" fontId="11" fillId="0" borderId="0" xfId="0" applyNumberFormat="1" applyFont="1" applyBorder="1" applyAlignment="1">
      <alignment horizontal="left" vertical="center" wrapText="1"/>
    </xf>
    <xf numFmtId="0" fontId="6" fillId="0" borderId="6" xfId="0" applyNumberFormat="1" applyFont="1" applyBorder="1" applyAlignment="1">
      <alignment horizontal="left" vertical="center" wrapText="1"/>
    </xf>
    <xf numFmtId="0" fontId="6" fillId="0" borderId="7" xfId="0" applyNumberFormat="1" applyFont="1" applyBorder="1" applyAlignment="1">
      <alignment horizontal="left" vertical="center" wrapText="1"/>
    </xf>
    <xf numFmtId="0" fontId="6" fillId="0" borderId="8" xfId="0" applyNumberFormat="1" applyFont="1" applyBorder="1" applyAlignment="1">
      <alignment horizontal="left" vertical="center" wrapText="1"/>
    </xf>
    <xf numFmtId="2" fontId="6" fillId="0" borderId="6" xfId="0" applyNumberFormat="1" applyFont="1" applyBorder="1" applyAlignment="1">
      <alignment horizontal="center" vertical="center"/>
    </xf>
    <xf numFmtId="2" fontId="6" fillId="0" borderId="8" xfId="0" applyNumberFormat="1" applyFont="1" applyBorder="1" applyAlignment="1">
      <alignment horizontal="center" vertical="center"/>
    </xf>
    <xf numFmtId="0" fontId="54" fillId="0" borderId="1" xfId="0" applyFont="1" applyBorder="1" applyAlignment="1">
      <alignment horizontal="center"/>
    </xf>
    <xf numFmtId="0" fontId="6" fillId="0" borderId="6" xfId="0" applyFont="1" applyBorder="1" applyAlignment="1">
      <alignment horizontal="left" vertical="center" wrapText="1"/>
    </xf>
    <xf numFmtId="0" fontId="6" fillId="0" borderId="7" xfId="0" applyFont="1" applyBorder="1" applyAlignment="1">
      <alignment horizontal="left" vertical="center" wrapText="1"/>
    </xf>
    <xf numFmtId="0" fontId="6" fillId="0" borderId="8" xfId="0" applyFont="1" applyBorder="1" applyAlignment="1">
      <alignment horizontal="left" vertical="center" wrapText="1"/>
    </xf>
    <xf numFmtId="2" fontId="2" fillId="0" borderId="6" xfId="0" applyNumberFormat="1" applyFont="1" applyBorder="1" applyAlignment="1">
      <alignment horizontal="center"/>
    </xf>
    <xf numFmtId="0" fontId="2" fillId="0" borderId="8" xfId="0" applyFont="1" applyBorder="1" applyAlignment="1">
      <alignment horizontal="center"/>
    </xf>
    <xf numFmtId="4" fontId="4" fillId="0" borderId="13" xfId="0" applyNumberFormat="1" applyFont="1" applyBorder="1" applyAlignment="1">
      <alignment horizontal="left" vertical="justify" wrapText="1"/>
    </xf>
    <xf numFmtId="4" fontId="2" fillId="0" borderId="3" xfId="0" applyNumberFormat="1" applyFont="1" applyBorder="1" applyAlignment="1">
      <alignment horizontal="left" vertical="center" wrapText="1"/>
    </xf>
    <xf numFmtId="2" fontId="2" fillId="0" borderId="1" xfId="0" applyNumberFormat="1" applyFont="1" applyBorder="1" applyAlignment="1">
      <alignment horizontal="center"/>
    </xf>
    <xf numFmtId="0" fontId="2" fillId="0" borderId="1" xfId="0" applyFont="1" applyBorder="1"/>
    <xf numFmtId="4" fontId="6" fillId="0" borderId="14" xfId="0" applyNumberFormat="1" applyFont="1" applyBorder="1" applyAlignment="1">
      <alignment horizontal="center" vertical="center"/>
    </xf>
    <xf numFmtId="4" fontId="6" fillId="0" borderId="2" xfId="0" applyNumberFormat="1" applyFont="1" applyBorder="1" applyAlignment="1">
      <alignment horizontal="center" vertical="center"/>
    </xf>
    <xf numFmtId="0" fontId="65" fillId="0" borderId="6" xfId="0" applyFont="1" applyBorder="1" applyAlignment="1">
      <alignment horizontal="center"/>
    </xf>
    <xf numFmtId="0" fontId="65" fillId="0" borderId="7" xfId="0" applyFont="1" applyBorder="1" applyAlignment="1">
      <alignment horizontal="center"/>
    </xf>
    <xf numFmtId="0" fontId="65" fillId="0" borderId="8" xfId="0" applyFont="1" applyBorder="1" applyAlignment="1">
      <alignment horizontal="center"/>
    </xf>
    <xf numFmtId="4" fontId="6" fillId="0" borderId="6" xfId="0" applyNumberFormat="1" applyFont="1" applyBorder="1" applyAlignment="1">
      <alignment horizontal="left" vertical="center" wrapText="1"/>
    </xf>
    <xf numFmtId="4" fontId="6" fillId="0" borderId="7" xfId="0" applyNumberFormat="1" applyFont="1" applyBorder="1" applyAlignment="1">
      <alignment horizontal="left" vertical="center" wrapText="1"/>
    </xf>
    <xf numFmtId="4" fontId="6" fillId="0" borderId="8" xfId="0" applyNumberFormat="1" applyFont="1" applyBorder="1" applyAlignment="1">
      <alignment horizontal="left" vertical="center" wrapText="1"/>
    </xf>
    <xf numFmtId="4" fontId="4" fillId="0" borderId="37" xfId="0" applyNumberFormat="1" applyFont="1" applyBorder="1" applyAlignment="1">
      <alignment horizontal="left" vertical="justify" wrapText="1"/>
    </xf>
    <xf numFmtId="4" fontId="4" fillId="0" borderId="16" xfId="0" applyNumberFormat="1" applyFont="1" applyBorder="1" applyAlignment="1">
      <alignment horizontal="left" vertical="justify" wrapText="1"/>
    </xf>
    <xf numFmtId="0" fontId="4" fillId="0" borderId="6" xfId="0" applyFont="1" applyBorder="1" applyAlignment="1">
      <alignment horizontal="center"/>
    </xf>
    <xf numFmtId="0" fontId="4" fillId="0" borderId="7" xfId="0" applyFont="1" applyBorder="1" applyAlignment="1">
      <alignment horizontal="center"/>
    </xf>
    <xf numFmtId="0" fontId="4" fillId="0" borderId="8" xfId="0" applyFont="1" applyBorder="1" applyAlignment="1">
      <alignment horizontal="center"/>
    </xf>
    <xf numFmtId="2" fontId="2" fillId="0" borderId="17" xfId="0" applyNumberFormat="1" applyFont="1" applyBorder="1" applyAlignment="1">
      <alignment horizontal="right" vertical="center"/>
    </xf>
    <xf numFmtId="2" fontId="6" fillId="0" borderId="0" xfId="0" applyNumberFormat="1" applyFont="1" applyBorder="1" applyAlignment="1">
      <alignment horizontal="center" vertical="center"/>
    </xf>
    <xf numFmtId="2" fontId="4" fillId="0" borderId="4" xfId="0" applyNumberFormat="1" applyFont="1" applyBorder="1" applyAlignment="1">
      <alignment horizontal="center" vertical="center"/>
    </xf>
    <xf numFmtId="4" fontId="8" fillId="0" borderId="0" xfId="0" applyNumberFormat="1" applyFont="1" applyBorder="1" applyAlignment="1">
      <alignment horizontal="left" vertical="center" wrapText="1"/>
    </xf>
    <xf numFmtId="4" fontId="6" fillId="0" borderId="37" xfId="0" applyNumberFormat="1" applyFont="1" applyBorder="1" applyAlignment="1">
      <alignment horizontal="center" vertical="center" wrapText="1"/>
    </xf>
    <xf numFmtId="4" fontId="6" fillId="0" borderId="16" xfId="0" applyNumberFormat="1" applyFont="1" applyBorder="1" applyAlignment="1">
      <alignment horizontal="center" vertical="center" wrapText="1"/>
    </xf>
    <xf numFmtId="0" fontId="40" fillId="0" borderId="44" xfId="0" applyFont="1" applyBorder="1" applyAlignment="1">
      <alignment horizontal="center" vertical="center" wrapText="1"/>
    </xf>
    <xf numFmtId="0" fontId="40" fillId="0" borderId="49" xfId="0" applyFont="1" applyBorder="1" applyAlignment="1">
      <alignment horizontal="center" vertical="center" wrapText="1"/>
    </xf>
    <xf numFmtId="4" fontId="19" fillId="5" borderId="62" xfId="0" applyNumberFormat="1" applyFont="1" applyFill="1" applyBorder="1" applyAlignment="1">
      <alignment horizontal="center" vertical="center"/>
    </xf>
    <xf numFmtId="4" fontId="19" fillId="5" borderId="7" xfId="0" applyNumberFormat="1" applyFont="1" applyFill="1" applyBorder="1" applyAlignment="1">
      <alignment horizontal="center" vertical="center"/>
    </xf>
    <xf numFmtId="4" fontId="19" fillId="5" borderId="8" xfId="0" applyNumberFormat="1" applyFont="1" applyFill="1" applyBorder="1" applyAlignment="1">
      <alignment horizontal="center" vertical="center"/>
    </xf>
    <xf numFmtId="0" fontId="40" fillId="0" borderId="59" xfId="0" applyFont="1" applyBorder="1" applyAlignment="1">
      <alignment horizontal="center" vertical="center" wrapText="1"/>
    </xf>
    <xf numFmtId="4" fontId="6" fillId="0" borderId="13" xfId="0" applyNumberFormat="1" applyFont="1" applyBorder="1" applyAlignment="1">
      <alignment horizontal="center" vertical="center" wrapText="1"/>
    </xf>
    <xf numFmtId="4" fontId="6" fillId="0" borderId="0" xfId="0" applyNumberFormat="1" applyFont="1" applyBorder="1" applyAlignment="1">
      <alignment horizontal="center" vertical="center" wrapText="1"/>
    </xf>
    <xf numFmtId="4" fontId="2" fillId="0" borderId="14" xfId="0" applyNumberFormat="1" applyFont="1" applyBorder="1" applyAlignment="1">
      <alignment horizontal="center" vertical="center"/>
    </xf>
    <xf numFmtId="4" fontId="2" fillId="0" borderId="2" xfId="0" applyNumberFormat="1" applyFont="1" applyBorder="1" applyAlignment="1">
      <alignment horizontal="center" vertical="center"/>
    </xf>
    <xf numFmtId="0" fontId="2" fillId="0" borderId="55" xfId="0" applyFont="1" applyBorder="1" applyAlignment="1">
      <alignment horizontal="center" vertical="center"/>
    </xf>
    <xf numFmtId="0" fontId="2" fillId="0" borderId="53" xfId="0" applyFont="1" applyBorder="1" applyAlignment="1">
      <alignment horizontal="center" vertical="center"/>
    </xf>
    <xf numFmtId="0" fontId="2" fillId="0" borderId="60" xfId="0" applyFont="1" applyBorder="1" applyAlignment="1">
      <alignment horizontal="center" vertical="center"/>
    </xf>
    <xf numFmtId="0" fontId="13" fillId="0" borderId="52" xfId="0" applyFont="1" applyBorder="1" applyAlignment="1">
      <alignment horizontal="center" vertical="center"/>
    </xf>
    <xf numFmtId="0" fontId="13" fillId="0" borderId="53" xfId="0" applyFont="1" applyBorder="1" applyAlignment="1">
      <alignment horizontal="center" vertical="center"/>
    </xf>
    <xf numFmtId="0" fontId="13" fillId="0" borderId="54" xfId="0" applyFont="1" applyBorder="1" applyAlignment="1">
      <alignment horizontal="center" vertical="center"/>
    </xf>
    <xf numFmtId="0" fontId="19" fillId="5" borderId="48" xfId="0" applyFont="1" applyFill="1" applyBorder="1" applyAlignment="1">
      <alignment horizontal="center" vertical="center" wrapText="1"/>
    </xf>
    <xf numFmtId="0" fontId="19" fillId="5" borderId="45" xfId="0" applyFont="1" applyFill="1" applyBorder="1" applyAlignment="1">
      <alignment horizontal="center" vertical="center" wrapText="1"/>
    </xf>
    <xf numFmtId="0" fontId="19" fillId="5" borderId="49" xfId="0" applyFont="1" applyFill="1" applyBorder="1" applyAlignment="1">
      <alignment horizontal="center" vertical="center" wrapText="1"/>
    </xf>
    <xf numFmtId="0" fontId="6" fillId="0" borderId="28" xfId="0" applyFont="1" applyBorder="1" applyAlignment="1">
      <alignment horizontal="center" vertical="center"/>
    </xf>
    <xf numFmtId="0" fontId="6" fillId="0" borderId="28" xfId="0" applyFont="1" applyBorder="1" applyAlignment="1">
      <alignment horizontal="center" vertical="center" wrapText="1"/>
    </xf>
    <xf numFmtId="0" fontId="41" fillId="0" borderId="61" xfId="0" applyFont="1" applyBorder="1" applyAlignment="1">
      <alignment horizontal="center" vertical="center" wrapText="1"/>
    </xf>
    <xf numFmtId="0" fontId="52" fillId="0" borderId="6" xfId="0" applyFont="1" applyBorder="1" applyAlignment="1">
      <alignment horizontal="center" vertical="center"/>
    </xf>
    <xf numFmtId="0" fontId="52" fillId="0" borderId="7" xfId="0" applyFont="1" applyBorder="1" applyAlignment="1">
      <alignment horizontal="center" vertical="center"/>
    </xf>
    <xf numFmtId="0" fontId="52" fillId="0" borderId="8" xfId="0" applyFont="1" applyBorder="1" applyAlignment="1">
      <alignment horizontal="center" vertical="center"/>
    </xf>
    <xf numFmtId="0" fontId="37" fillId="0" borderId="6" xfId="0" applyFont="1" applyBorder="1" applyAlignment="1">
      <alignment horizontal="center" vertical="center"/>
    </xf>
    <xf numFmtId="0" fontId="37" fillId="0" borderId="7" xfId="0" applyFont="1" applyBorder="1" applyAlignment="1">
      <alignment horizontal="center" vertical="center"/>
    </xf>
    <xf numFmtId="0" fontId="37" fillId="0" borderId="8" xfId="0" applyFont="1" applyBorder="1" applyAlignment="1">
      <alignment horizontal="center" vertical="center"/>
    </xf>
    <xf numFmtId="0" fontId="2" fillId="0" borderId="6" xfId="0" applyFont="1" applyBorder="1" applyAlignment="1">
      <alignment horizontal="center"/>
    </xf>
    <xf numFmtId="0" fontId="35" fillId="0" borderId="9" xfId="0" applyFont="1" applyBorder="1" applyAlignment="1">
      <alignment horizontal="center" vertical="center" wrapText="1"/>
    </xf>
    <xf numFmtId="0" fontId="35" fillId="0" borderId="11" xfId="0" applyFont="1" applyBorder="1" applyAlignment="1">
      <alignment horizontal="center" vertical="center" wrapText="1"/>
    </xf>
    <xf numFmtId="4" fontId="35" fillId="0" borderId="1" xfId="0" applyNumberFormat="1" applyFont="1" applyBorder="1" applyAlignment="1">
      <alignment horizontal="center" vertical="center"/>
    </xf>
    <xf numFmtId="0" fontId="0" fillId="0" borderId="1" xfId="0" applyBorder="1" applyAlignment="1">
      <alignment horizontal="center" vertical="center" wrapText="1"/>
    </xf>
    <xf numFmtId="0" fontId="37" fillId="0" borderId="1" xfId="0" applyFont="1" applyBorder="1" applyAlignment="1">
      <alignment horizontal="center" vertical="center" wrapText="1"/>
    </xf>
    <xf numFmtId="0" fontId="4" fillId="0" borderId="0" xfId="0" quotePrefix="1" applyFont="1" applyBorder="1" applyAlignment="1">
      <alignment horizontal="left"/>
    </xf>
    <xf numFmtId="0" fontId="4" fillId="0" borderId="0" xfId="0" applyFont="1" applyBorder="1" applyAlignment="1">
      <alignment horizontal="left"/>
    </xf>
    <xf numFmtId="0" fontId="2" fillId="0" borderId="0" xfId="0" applyFont="1" applyBorder="1" applyAlignment="1">
      <alignment horizontal="left"/>
    </xf>
    <xf numFmtId="0" fontId="4" fillId="0" borderId="0" xfId="0" applyFont="1" applyBorder="1" applyAlignment="1">
      <alignment horizontal="left" vertical="justify" wrapText="1"/>
    </xf>
    <xf numFmtId="0" fontId="4" fillId="0" borderId="0" xfId="0" applyFont="1" applyBorder="1" applyAlignment="1">
      <alignment horizontal="left" vertical="center" wrapText="1"/>
    </xf>
    <xf numFmtId="0" fontId="4" fillId="0" borderId="0" xfId="0" applyFont="1" applyBorder="1" applyAlignment="1">
      <alignment vertical="justify" wrapText="1"/>
    </xf>
    <xf numFmtId="0" fontId="75" fillId="0" borderId="0" xfId="0" applyFont="1" applyBorder="1" applyAlignment="1">
      <alignment horizontal="left"/>
    </xf>
    <xf numFmtId="0" fontId="2" fillId="0" borderId="0" xfId="0" applyFont="1" applyBorder="1" applyAlignment="1">
      <alignment horizontal="left" vertical="center" wrapText="1"/>
    </xf>
    <xf numFmtId="0" fontId="41" fillId="0" borderId="47" xfId="0" applyFont="1" applyBorder="1" applyAlignment="1">
      <alignment horizontal="center" vertical="center" wrapText="1"/>
    </xf>
    <xf numFmtId="0" fontId="40" fillId="0" borderId="8" xfId="0" applyFont="1" applyBorder="1" applyAlignment="1">
      <alignment horizontal="center" vertical="center" wrapText="1"/>
    </xf>
    <xf numFmtId="0" fontId="61" fillId="0" borderId="0" xfId="0" applyFont="1" applyBorder="1" applyAlignment="1">
      <alignment horizontal="left" vertical="center" wrapText="1"/>
    </xf>
    <xf numFmtId="0" fontId="2" fillId="0" borderId="0" xfId="0" applyFont="1" applyBorder="1" applyAlignment="1">
      <alignment horizontal="left" vertical="justify" wrapText="1"/>
    </xf>
    <xf numFmtId="0" fontId="13" fillId="0" borderId="1" xfId="0" quotePrefix="1" applyFont="1" applyBorder="1" applyAlignment="1">
      <alignment horizontal="center" vertical="center"/>
    </xf>
    <xf numFmtId="0" fontId="13" fillId="0" borderId="0" xfId="0" applyFont="1" applyBorder="1" applyAlignment="1">
      <alignment horizontal="center" vertical="center" wrapText="1"/>
    </xf>
    <xf numFmtId="0" fontId="13" fillId="0" borderId="38" xfId="0" applyFont="1" applyBorder="1" applyAlignment="1">
      <alignment horizontal="center" vertical="center"/>
    </xf>
    <xf numFmtId="0" fontId="13" fillId="0" borderId="39" xfId="0" applyFont="1" applyBorder="1" applyAlignment="1">
      <alignment horizontal="center" vertical="center"/>
    </xf>
    <xf numFmtId="0" fontId="13" fillId="0" borderId="43" xfId="0" applyFont="1" applyBorder="1" applyAlignment="1">
      <alignment horizontal="center" vertical="center"/>
    </xf>
    <xf numFmtId="0" fontId="13" fillId="0" borderId="30" xfId="0" applyFont="1" applyBorder="1" applyAlignment="1">
      <alignment horizontal="center" vertical="center"/>
    </xf>
    <xf numFmtId="0" fontId="13" fillId="0" borderId="12" xfId="0" applyFont="1" applyBorder="1" applyAlignment="1">
      <alignment horizontal="center" vertical="center"/>
    </xf>
    <xf numFmtId="0" fontId="13" fillId="0" borderId="19" xfId="0" applyFont="1" applyBorder="1" applyAlignment="1">
      <alignment horizontal="center" vertical="center"/>
    </xf>
    <xf numFmtId="0" fontId="2" fillId="0" borderId="1" xfId="0" applyFont="1" applyBorder="1" applyAlignment="1">
      <alignment horizontal="center" vertical="center" wrapText="1"/>
    </xf>
  </cellXfs>
  <cellStyles count="4">
    <cellStyle name="Euro" xfId="1"/>
    <cellStyle name="Normal" xfId="0" builtinId="0"/>
    <cellStyle name="Normal 2" xfId="2"/>
    <cellStyle name="Separador de milhares" xfId="3" builtinId="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sheetPr codeName="Plan1"/>
  <dimension ref="A1:R316"/>
  <sheetViews>
    <sheetView workbookViewId="0">
      <selection activeCell="I144" sqref="I144"/>
    </sheetView>
  </sheetViews>
  <sheetFormatPr defaultColWidth="9.140625" defaultRowHeight="12.75"/>
  <cols>
    <col min="1" max="1" width="3.7109375" style="2" customWidth="1"/>
    <col min="2" max="2" width="13.42578125" style="2" customWidth="1"/>
    <col min="3" max="3" width="14.85546875" style="2" customWidth="1"/>
    <col min="4" max="4" width="7" style="2" customWidth="1"/>
    <col min="5" max="5" width="8.140625" style="2" customWidth="1"/>
    <col min="6" max="6" width="13.7109375" style="2" customWidth="1"/>
    <col min="7" max="7" width="10.5703125" style="2" customWidth="1"/>
    <col min="8" max="8" width="23" style="60" customWidth="1"/>
    <col min="9" max="9" width="11.85546875" style="12" customWidth="1"/>
    <col min="10" max="10" width="7.85546875" style="13" customWidth="1"/>
    <col min="15" max="15" width="14.140625" customWidth="1"/>
  </cols>
  <sheetData>
    <row r="1" spans="1:12" s="51" customFormat="1" ht="27.75" customHeight="1" thickBot="1">
      <c r="A1" s="3"/>
      <c r="B1" s="490" t="s">
        <v>504</v>
      </c>
      <c r="C1" s="491"/>
      <c r="D1" s="491"/>
      <c r="E1" s="491"/>
      <c r="F1" s="491"/>
      <c r="G1" s="491"/>
      <c r="H1" s="491"/>
      <c r="I1" s="492"/>
      <c r="J1" s="35" t="s">
        <v>22</v>
      </c>
      <c r="K1" s="383"/>
      <c r="L1" s="384"/>
    </row>
    <row r="2" spans="1:12" s="51" customFormat="1" ht="19.5" customHeight="1" thickBot="1">
      <c r="A2" s="3"/>
      <c r="B2" s="537" t="s">
        <v>505</v>
      </c>
      <c r="C2" s="538"/>
      <c r="D2" s="538"/>
      <c r="E2" s="538"/>
      <c r="F2" s="538"/>
      <c r="G2" s="538"/>
      <c r="H2" s="538"/>
      <c r="I2" s="539"/>
      <c r="J2" s="43">
        <v>3.2938999999999998</v>
      </c>
      <c r="K2" s="46"/>
      <c r="L2" s="55"/>
    </row>
    <row r="3" spans="1:12" ht="14.25" customHeight="1">
      <c r="B3" s="512" t="s">
        <v>429</v>
      </c>
      <c r="C3" s="513"/>
      <c r="D3" s="513"/>
      <c r="E3" s="513"/>
      <c r="F3" s="513"/>
      <c r="G3" s="513"/>
      <c r="H3" s="513"/>
      <c r="I3" s="514"/>
    </row>
    <row r="4" spans="1:12" ht="24.75" customHeight="1" thickBot="1">
      <c r="B4" s="550" t="s">
        <v>5</v>
      </c>
      <c r="C4" s="551"/>
      <c r="D4" s="551"/>
      <c r="E4" s="551"/>
      <c r="F4" s="551"/>
      <c r="G4" s="551"/>
      <c r="H4" s="551"/>
      <c r="I4" s="552"/>
    </row>
    <row r="5" spans="1:12" ht="15">
      <c r="B5" s="498" t="s">
        <v>6</v>
      </c>
      <c r="C5" s="498"/>
      <c r="D5" s="498"/>
      <c r="E5" s="498"/>
      <c r="F5" s="498"/>
      <c r="G5" s="498"/>
      <c r="H5" s="499"/>
      <c r="I5" s="14" t="s">
        <v>13</v>
      </c>
    </row>
    <row r="6" spans="1:12" ht="45.75" customHeight="1">
      <c r="B6" s="524" t="s">
        <v>39</v>
      </c>
      <c r="C6" s="524"/>
      <c r="D6" s="524"/>
      <c r="E6" s="524"/>
      <c r="F6" s="524"/>
      <c r="G6" s="524"/>
      <c r="H6" s="525"/>
      <c r="I6" s="33">
        <v>0.86</v>
      </c>
    </row>
    <row r="7" spans="1:12" ht="54.75" customHeight="1">
      <c r="B7" s="524" t="s">
        <v>14</v>
      </c>
      <c r="C7" s="524"/>
      <c r="D7" s="524"/>
      <c r="E7" s="524"/>
      <c r="F7" s="524"/>
      <c r="G7" s="524"/>
      <c r="H7" s="525"/>
      <c r="I7" s="33">
        <v>19.82</v>
      </c>
    </row>
    <row r="8" spans="1:12" ht="48.75" customHeight="1">
      <c r="B8" s="524" t="s">
        <v>40</v>
      </c>
      <c r="C8" s="524"/>
      <c r="D8" s="524"/>
      <c r="E8" s="524"/>
      <c r="F8" s="524"/>
      <c r="G8" s="524"/>
      <c r="H8" s="525"/>
      <c r="I8" s="291">
        <f>I7/2</f>
        <v>9.91</v>
      </c>
    </row>
    <row r="9" spans="1:12" ht="16.5" customHeight="1">
      <c r="B9" s="522" t="s">
        <v>41</v>
      </c>
      <c r="C9" s="522"/>
      <c r="D9" s="522"/>
      <c r="E9" s="522"/>
      <c r="F9" s="522"/>
      <c r="G9" s="522"/>
      <c r="H9" s="523"/>
      <c r="I9" s="27">
        <v>10.35</v>
      </c>
    </row>
    <row r="10" spans="1:12" ht="30.75" customHeight="1">
      <c r="B10" s="524" t="s">
        <v>42</v>
      </c>
      <c r="C10" s="524"/>
      <c r="D10" s="524"/>
      <c r="E10" s="524"/>
      <c r="F10" s="524"/>
      <c r="G10" s="524"/>
      <c r="H10" s="525"/>
      <c r="I10" s="33">
        <v>12</v>
      </c>
    </row>
    <row r="11" spans="1:12" ht="15" customHeight="1">
      <c r="B11" s="522" t="s">
        <v>43</v>
      </c>
      <c r="C11" s="522"/>
      <c r="D11" s="522"/>
      <c r="E11" s="522"/>
      <c r="F11" s="522"/>
      <c r="G11" s="522"/>
      <c r="H11" s="523"/>
      <c r="I11" s="33">
        <v>17.21</v>
      </c>
    </row>
    <row r="12" spans="1:12" ht="15" thickBot="1">
      <c r="H12" s="57"/>
      <c r="I12" s="9"/>
    </row>
    <row r="13" spans="1:12" ht="14.25" customHeight="1">
      <c r="B13" s="512" t="s">
        <v>430</v>
      </c>
      <c r="C13" s="513"/>
      <c r="D13" s="513"/>
      <c r="E13" s="513"/>
      <c r="F13" s="513"/>
      <c r="G13" s="513"/>
      <c r="H13" s="513"/>
      <c r="I13" s="514"/>
    </row>
    <row r="14" spans="1:12" ht="14.25" customHeight="1" thickBot="1">
      <c r="B14" s="509" t="s">
        <v>7</v>
      </c>
      <c r="C14" s="510"/>
      <c r="D14" s="510"/>
      <c r="E14" s="510"/>
      <c r="F14" s="510"/>
      <c r="G14" s="510"/>
      <c r="H14" s="510"/>
      <c r="I14" s="511"/>
    </row>
    <row r="15" spans="1:12" ht="14.25">
      <c r="B15" s="498" t="s">
        <v>6</v>
      </c>
      <c r="C15" s="498"/>
      <c r="D15" s="498"/>
      <c r="E15" s="498"/>
      <c r="F15" s="498"/>
      <c r="G15" s="498"/>
      <c r="H15" s="499"/>
      <c r="I15" s="23" t="s">
        <v>13</v>
      </c>
    </row>
    <row r="16" spans="1:12" ht="16.5" customHeight="1">
      <c r="B16" s="522" t="s">
        <v>44</v>
      </c>
      <c r="C16" s="541"/>
      <c r="D16" s="541"/>
      <c r="E16" s="541"/>
      <c r="F16" s="541"/>
      <c r="G16" s="541"/>
      <c r="H16" s="542"/>
      <c r="I16" s="27"/>
    </row>
    <row r="17" spans="2:9" ht="16.5" customHeight="1">
      <c r="B17" s="57" t="s">
        <v>54</v>
      </c>
      <c r="C17" s="57">
        <v>0.01</v>
      </c>
      <c r="D17" s="57"/>
      <c r="E17" s="57"/>
      <c r="F17" s="57" t="s">
        <v>55</v>
      </c>
      <c r="G17" s="57"/>
      <c r="H17" s="18">
        <v>10000</v>
      </c>
      <c r="I17" s="27">
        <v>158.04</v>
      </c>
    </row>
    <row r="18" spans="2:9" ht="15" customHeight="1">
      <c r="B18" s="57" t="s">
        <v>56</v>
      </c>
      <c r="C18" s="17">
        <v>10000</v>
      </c>
      <c r="D18" s="57"/>
      <c r="E18" s="57"/>
      <c r="F18" s="57" t="s">
        <v>55</v>
      </c>
      <c r="G18" s="57"/>
      <c r="H18" s="18">
        <v>30000</v>
      </c>
      <c r="I18" s="27">
        <v>189.65</v>
      </c>
    </row>
    <row r="19" spans="2:9" ht="15" customHeight="1">
      <c r="B19" s="57" t="s">
        <v>27</v>
      </c>
      <c r="C19" s="17">
        <v>30000.01</v>
      </c>
      <c r="D19" s="57"/>
      <c r="E19" s="57"/>
      <c r="F19" s="57" t="s">
        <v>55</v>
      </c>
      <c r="G19" s="57"/>
      <c r="H19" s="18">
        <v>50000</v>
      </c>
      <c r="I19" s="27">
        <v>221.26</v>
      </c>
    </row>
    <row r="20" spans="2:9" ht="15" customHeight="1">
      <c r="B20" s="57" t="s">
        <v>57</v>
      </c>
      <c r="C20" s="17">
        <v>50000.01</v>
      </c>
      <c r="D20" s="57"/>
      <c r="E20" s="57"/>
      <c r="F20" s="57" t="s">
        <v>55</v>
      </c>
      <c r="G20" s="57"/>
      <c r="H20" s="18">
        <v>70000</v>
      </c>
      <c r="I20" s="27">
        <v>252.86</v>
      </c>
    </row>
    <row r="21" spans="2:9" ht="15" customHeight="1">
      <c r="B21" s="57" t="s">
        <v>58</v>
      </c>
      <c r="C21" s="17">
        <v>70000.009999999995</v>
      </c>
      <c r="D21" s="57"/>
      <c r="E21" s="57"/>
      <c r="F21" s="57" t="s">
        <v>55</v>
      </c>
      <c r="G21" s="57"/>
      <c r="H21" s="18">
        <v>100000</v>
      </c>
      <c r="I21" s="27">
        <v>300.29000000000002</v>
      </c>
    </row>
    <row r="22" spans="2:9" ht="15">
      <c r="B22" s="57" t="s">
        <v>59</v>
      </c>
      <c r="C22" s="521" t="s">
        <v>60</v>
      </c>
      <c r="D22" s="521"/>
      <c r="E22" s="521"/>
      <c r="F22" s="57"/>
      <c r="G22" s="57"/>
      <c r="H22" s="16"/>
      <c r="I22" s="27">
        <v>395.15</v>
      </c>
    </row>
    <row r="23" spans="2:9" ht="30" customHeight="1">
      <c r="B23" s="521" t="s">
        <v>61</v>
      </c>
      <c r="C23" s="521"/>
      <c r="D23" s="521"/>
      <c r="E23" s="521"/>
      <c r="F23" s="521"/>
      <c r="G23" s="521"/>
      <c r="H23" s="532"/>
      <c r="I23" s="27">
        <v>158.04</v>
      </c>
    </row>
    <row r="24" spans="2:9" ht="15" customHeight="1">
      <c r="B24" s="522" t="s">
        <v>45</v>
      </c>
      <c r="C24" s="522"/>
      <c r="D24" s="522"/>
      <c r="E24" s="522"/>
      <c r="F24" s="522"/>
      <c r="G24" s="522"/>
      <c r="H24" s="523"/>
      <c r="I24" s="27">
        <v>158.04</v>
      </c>
    </row>
    <row r="25" spans="2:9" ht="31.5" customHeight="1">
      <c r="B25" s="522" t="s">
        <v>17</v>
      </c>
      <c r="C25" s="522"/>
      <c r="D25" s="522"/>
      <c r="E25" s="522"/>
      <c r="F25" s="522"/>
      <c r="G25" s="522"/>
      <c r="H25" s="523"/>
      <c r="I25" s="27">
        <v>78.98</v>
      </c>
    </row>
    <row r="26" spans="2:9" ht="22.5" customHeight="1">
      <c r="B26" s="521" t="s">
        <v>46</v>
      </c>
      <c r="C26" s="521"/>
      <c r="D26" s="521"/>
      <c r="E26" s="521"/>
      <c r="F26" s="521"/>
      <c r="G26" s="521"/>
      <c r="H26" s="532"/>
      <c r="I26" s="27">
        <v>78.98</v>
      </c>
    </row>
    <row r="27" spans="2:9" ht="22.5" customHeight="1">
      <c r="B27" s="521" t="s">
        <v>47</v>
      </c>
      <c r="C27" s="521"/>
      <c r="D27" s="521"/>
      <c r="E27" s="521"/>
      <c r="F27" s="521"/>
      <c r="G27" s="521"/>
      <c r="H27" s="532"/>
      <c r="I27" s="27">
        <v>78.98</v>
      </c>
    </row>
    <row r="28" spans="2:9" ht="22.5" customHeight="1">
      <c r="B28" s="521" t="s">
        <v>48</v>
      </c>
      <c r="C28" s="521"/>
      <c r="D28" s="521"/>
      <c r="E28" s="521"/>
      <c r="F28" s="521"/>
      <c r="G28" s="521"/>
      <c r="H28" s="532"/>
      <c r="I28" s="27">
        <v>18.899999999999999</v>
      </c>
    </row>
    <row r="29" spans="2:9" ht="27" customHeight="1">
      <c r="B29" s="521" t="s">
        <v>52</v>
      </c>
      <c r="C29" s="521"/>
      <c r="D29" s="521"/>
      <c r="E29" s="521"/>
      <c r="F29" s="521"/>
      <c r="G29" s="521"/>
      <c r="H29" s="532"/>
      <c r="I29" s="27">
        <v>65.239999999999995</v>
      </c>
    </row>
    <row r="30" spans="2:9" ht="15" customHeight="1">
      <c r="B30" s="522" t="s">
        <v>49</v>
      </c>
      <c r="C30" s="522"/>
      <c r="D30" s="522"/>
      <c r="E30" s="522"/>
      <c r="F30" s="522"/>
      <c r="G30" s="522"/>
      <c r="H30" s="523"/>
      <c r="I30" s="27">
        <v>9.43</v>
      </c>
    </row>
    <row r="31" spans="2:9" ht="15" customHeight="1">
      <c r="B31" s="522" t="s">
        <v>50</v>
      </c>
      <c r="C31" s="522"/>
      <c r="D31" s="522"/>
      <c r="E31" s="522"/>
      <c r="F31" s="522"/>
      <c r="G31" s="522"/>
      <c r="H31" s="523"/>
      <c r="I31" s="27">
        <v>43.39</v>
      </c>
    </row>
    <row r="32" spans="2:9" ht="15" customHeight="1">
      <c r="B32" s="521" t="s">
        <v>51</v>
      </c>
      <c r="C32" s="521"/>
      <c r="D32" s="521"/>
      <c r="E32" s="521"/>
      <c r="F32" s="521"/>
      <c r="G32" s="521"/>
      <c r="H32" s="521"/>
      <c r="I32" s="27">
        <v>9.43</v>
      </c>
    </row>
    <row r="33" spans="1:11" ht="15" thickBot="1">
      <c r="H33" s="57"/>
      <c r="I33" s="9"/>
    </row>
    <row r="34" spans="1:11" ht="14.25" customHeight="1">
      <c r="B34" s="512" t="s">
        <v>431</v>
      </c>
      <c r="C34" s="513"/>
      <c r="D34" s="513"/>
      <c r="E34" s="513"/>
      <c r="F34" s="513"/>
      <c r="G34" s="513"/>
      <c r="H34" s="513"/>
      <c r="I34" s="514"/>
    </row>
    <row r="35" spans="1:11" ht="14.25" customHeight="1" thickBot="1">
      <c r="B35" s="509" t="s">
        <v>8</v>
      </c>
      <c r="C35" s="510"/>
      <c r="D35" s="510"/>
      <c r="E35" s="510"/>
      <c r="F35" s="510"/>
      <c r="G35" s="510"/>
      <c r="H35" s="510"/>
      <c r="I35" s="511"/>
    </row>
    <row r="36" spans="1:11" ht="14.25">
      <c r="B36" s="533"/>
      <c r="C36" s="533"/>
      <c r="D36" s="533"/>
      <c r="E36" s="533"/>
      <c r="F36" s="533"/>
      <c r="G36" s="533"/>
      <c r="H36" s="533"/>
      <c r="I36" s="9"/>
    </row>
    <row r="37" spans="1:11" ht="14.25">
      <c r="B37" s="553" t="s">
        <v>6</v>
      </c>
      <c r="C37" s="553"/>
      <c r="D37" s="553"/>
      <c r="E37" s="553"/>
      <c r="F37" s="553"/>
      <c r="G37" s="553"/>
      <c r="H37" s="554"/>
      <c r="I37" s="11" t="s">
        <v>13</v>
      </c>
      <c r="J37" s="29"/>
    </row>
    <row r="38" spans="1:11" ht="14.25">
      <c r="B38" s="522" t="s">
        <v>53</v>
      </c>
      <c r="C38" s="522"/>
      <c r="D38" s="522"/>
      <c r="E38" s="522"/>
      <c r="F38" s="522"/>
      <c r="G38" s="522"/>
      <c r="H38" s="523"/>
      <c r="I38" s="11" t="s">
        <v>15</v>
      </c>
    </row>
    <row r="39" spans="1:11" ht="15">
      <c r="B39" s="521" t="s">
        <v>62</v>
      </c>
      <c r="C39" s="521"/>
      <c r="D39" s="521"/>
      <c r="E39" s="521"/>
      <c r="F39" s="521"/>
      <c r="G39" s="521"/>
      <c r="H39" s="532"/>
      <c r="I39" s="27">
        <v>130.5</v>
      </c>
    </row>
    <row r="40" spans="1:11" ht="15">
      <c r="B40" s="521" t="s">
        <v>439</v>
      </c>
      <c r="C40" s="521"/>
      <c r="D40" s="521"/>
      <c r="E40" s="521"/>
      <c r="F40" s="521"/>
      <c r="G40" s="521"/>
      <c r="H40" s="532"/>
      <c r="I40" s="27"/>
    </row>
    <row r="41" spans="1:11" ht="15">
      <c r="B41" s="20" t="s">
        <v>25</v>
      </c>
      <c r="C41" s="20"/>
      <c r="D41" s="20"/>
      <c r="E41" s="20"/>
      <c r="F41" s="20"/>
      <c r="G41" s="20"/>
      <c r="H41" s="21" t="s">
        <v>26</v>
      </c>
      <c r="I41" s="11"/>
      <c r="K41" s="39"/>
    </row>
    <row r="42" spans="1:11" ht="15">
      <c r="A42" s="30"/>
      <c r="B42" s="61">
        <v>0.01</v>
      </c>
      <c r="C42" s="63"/>
      <c r="D42" s="63"/>
      <c r="E42" s="63" t="s">
        <v>55</v>
      </c>
      <c r="F42" s="63"/>
      <c r="G42" s="63"/>
      <c r="H42" s="47">
        <v>15000</v>
      </c>
      <c r="I42" s="27">
        <v>187.63</v>
      </c>
      <c r="J42" s="36"/>
      <c r="K42" s="28"/>
    </row>
    <row r="43" spans="1:11" ht="15">
      <c r="A43" s="30"/>
      <c r="B43" s="61">
        <f t="shared" ref="B43:B49" si="0">H42+0.01</f>
        <v>15000.01</v>
      </c>
      <c r="C43" s="63"/>
      <c r="D43" s="63"/>
      <c r="E43" s="63" t="s">
        <v>55</v>
      </c>
      <c r="F43" s="63"/>
      <c r="G43" s="63"/>
      <c r="H43" s="47">
        <v>30000</v>
      </c>
      <c r="I43" s="27">
        <v>310.02</v>
      </c>
      <c r="J43" s="36"/>
      <c r="K43" s="28"/>
    </row>
    <row r="44" spans="1:11" ht="15">
      <c r="A44" s="30"/>
      <c r="B44" s="61">
        <f t="shared" si="0"/>
        <v>30000.01</v>
      </c>
      <c r="C44" s="63"/>
      <c r="D44" s="63"/>
      <c r="E44" s="63" t="s">
        <v>55</v>
      </c>
      <c r="F44" s="63"/>
      <c r="G44" s="63"/>
      <c r="H44" s="47">
        <v>45000</v>
      </c>
      <c r="I44" s="27">
        <v>432.45</v>
      </c>
      <c r="J44" s="36"/>
      <c r="K44" s="28"/>
    </row>
    <row r="45" spans="1:11" ht="15">
      <c r="A45" s="30"/>
      <c r="B45" s="61">
        <f t="shared" si="0"/>
        <v>45000.01</v>
      </c>
      <c r="C45" s="63"/>
      <c r="D45" s="63"/>
      <c r="E45" s="63" t="s">
        <v>55</v>
      </c>
      <c r="F45" s="63"/>
      <c r="G45" s="63"/>
      <c r="H45" s="47">
        <v>60000</v>
      </c>
      <c r="I45" s="27">
        <v>530.35</v>
      </c>
      <c r="J45" s="36"/>
      <c r="K45" s="28"/>
    </row>
    <row r="46" spans="1:11" ht="15">
      <c r="A46" s="30"/>
      <c r="B46" s="61">
        <f t="shared" si="0"/>
        <v>60000.01</v>
      </c>
      <c r="C46" s="63"/>
      <c r="D46" s="63"/>
      <c r="E46" s="63" t="s">
        <v>55</v>
      </c>
      <c r="F46" s="63"/>
      <c r="G46" s="63"/>
      <c r="H46" s="47">
        <v>80000</v>
      </c>
      <c r="I46" s="27">
        <v>940</v>
      </c>
      <c r="J46" s="36"/>
      <c r="K46" s="28"/>
    </row>
    <row r="47" spans="1:11" ht="15">
      <c r="A47" s="30"/>
      <c r="B47" s="61">
        <f t="shared" si="0"/>
        <v>80000.009999999995</v>
      </c>
      <c r="C47" s="63"/>
      <c r="D47" s="63"/>
      <c r="E47" s="63" t="s">
        <v>55</v>
      </c>
      <c r="F47" s="63"/>
      <c r="G47" s="63"/>
      <c r="H47" s="47">
        <v>100000</v>
      </c>
      <c r="I47" s="27">
        <v>1109.73</v>
      </c>
      <c r="J47" s="36"/>
      <c r="K47" s="28"/>
    </row>
    <row r="48" spans="1:11" ht="15">
      <c r="A48" s="30"/>
      <c r="B48" s="61">
        <f t="shared" si="0"/>
        <v>100000.01</v>
      </c>
      <c r="C48" s="63"/>
      <c r="D48" s="63"/>
      <c r="E48" s="63" t="s">
        <v>55</v>
      </c>
      <c r="F48" s="63"/>
      <c r="G48" s="63"/>
      <c r="H48" s="47">
        <v>200000</v>
      </c>
      <c r="I48" s="68">
        <v>1501.39</v>
      </c>
      <c r="J48" s="36"/>
      <c r="K48" s="28"/>
    </row>
    <row r="49" spans="1:11" ht="15">
      <c r="A49" s="30"/>
      <c r="B49" s="61">
        <f t="shared" si="0"/>
        <v>200000.01</v>
      </c>
      <c r="C49" s="63"/>
      <c r="D49" s="63"/>
      <c r="E49" s="63" t="s">
        <v>55</v>
      </c>
      <c r="F49" s="63"/>
      <c r="G49" s="63"/>
      <c r="H49" s="47">
        <v>400000</v>
      </c>
      <c r="I49" s="68">
        <v>1615.66</v>
      </c>
      <c r="J49" s="36"/>
      <c r="K49" s="28"/>
    </row>
    <row r="50" spans="1:11" ht="9.75" customHeight="1">
      <c r="A50" s="30"/>
      <c r="B50" s="63"/>
      <c r="C50" s="63"/>
      <c r="D50" s="63"/>
      <c r="E50" s="63"/>
      <c r="F50" s="63"/>
      <c r="G50" s="63"/>
      <c r="H50" s="47"/>
      <c r="I50" s="27"/>
      <c r="J50" s="36"/>
      <c r="K50" s="28"/>
    </row>
    <row r="51" spans="1:11" ht="15">
      <c r="A51" s="75"/>
      <c r="B51" s="64" t="s">
        <v>500</v>
      </c>
      <c r="C51" s="63"/>
      <c r="D51" s="63"/>
      <c r="E51" s="63"/>
      <c r="F51" s="63"/>
      <c r="G51" s="63"/>
      <c r="H51" s="47"/>
      <c r="I51" s="27">
        <v>144.75</v>
      </c>
      <c r="J51" s="36"/>
      <c r="K51" s="28"/>
    </row>
    <row r="52" spans="1:11" ht="16.5" customHeight="1">
      <c r="A52" s="94"/>
      <c r="B52" s="386" t="s">
        <v>506</v>
      </c>
      <c r="C52" s="63"/>
      <c r="D52" s="63"/>
      <c r="E52" s="63"/>
      <c r="F52" s="63"/>
      <c r="G52" s="63"/>
      <c r="H52" s="47"/>
      <c r="I52" s="292">
        <v>36451.53</v>
      </c>
      <c r="J52" s="36"/>
      <c r="K52" s="28"/>
    </row>
    <row r="53" spans="1:11" ht="15">
      <c r="A53" s="94"/>
      <c r="B53" s="64" t="s">
        <v>123</v>
      </c>
      <c r="C53" s="63"/>
      <c r="D53" s="63"/>
      <c r="E53" s="63"/>
      <c r="F53" s="63"/>
      <c r="G53" s="63"/>
      <c r="H53" s="47"/>
      <c r="I53" s="27">
        <f>I10</f>
        <v>12</v>
      </c>
      <c r="J53" s="36"/>
      <c r="K53" s="28"/>
    </row>
    <row r="54" spans="1:11" ht="15">
      <c r="A54" s="94"/>
      <c r="B54" s="64" t="s">
        <v>343</v>
      </c>
      <c r="C54" s="63"/>
      <c r="D54" s="63"/>
      <c r="E54" s="63"/>
      <c r="F54" s="63"/>
      <c r="G54" s="63"/>
      <c r="H54" s="93"/>
      <c r="I54" s="24"/>
      <c r="J54" s="36"/>
      <c r="K54" s="28"/>
    </row>
    <row r="55" spans="1:11" ht="15.75" thickBot="1">
      <c r="A55" s="94"/>
      <c r="C55" s="63"/>
      <c r="D55" s="63"/>
      <c r="E55" s="63"/>
      <c r="F55" s="63"/>
      <c r="G55" s="63"/>
      <c r="H55" s="93"/>
      <c r="I55" s="24"/>
      <c r="J55" s="36"/>
      <c r="K55" s="28"/>
    </row>
    <row r="56" spans="1:11" ht="15">
      <c r="A56" s="30"/>
      <c r="B56" s="512" t="s">
        <v>432</v>
      </c>
      <c r="C56" s="513"/>
      <c r="D56" s="513"/>
      <c r="E56" s="513"/>
      <c r="F56" s="513"/>
      <c r="G56" s="513"/>
      <c r="H56" s="513"/>
      <c r="I56" s="514"/>
      <c r="J56" s="36"/>
      <c r="K56" s="28"/>
    </row>
    <row r="57" spans="1:11" ht="15.75" thickBot="1">
      <c r="A57" s="30"/>
      <c r="B57" s="509" t="s">
        <v>64</v>
      </c>
      <c r="C57" s="510"/>
      <c r="D57" s="510"/>
      <c r="E57" s="510"/>
      <c r="F57" s="510"/>
      <c r="G57" s="510"/>
      <c r="H57" s="510"/>
      <c r="I57" s="511"/>
      <c r="J57" s="36"/>
      <c r="K57" s="28"/>
    </row>
    <row r="58" spans="1:11" ht="9" customHeight="1">
      <c r="A58" s="30"/>
      <c r="B58" s="56"/>
      <c r="C58" s="56"/>
      <c r="D58" s="56"/>
      <c r="E58" s="56"/>
      <c r="F58" s="56"/>
      <c r="G58" s="56"/>
      <c r="H58" s="56"/>
      <c r="I58" s="56"/>
      <c r="J58" s="36"/>
      <c r="K58" s="28"/>
    </row>
    <row r="59" spans="1:11" ht="15">
      <c r="A59" s="30"/>
      <c r="B59" s="63"/>
      <c r="C59" s="63"/>
      <c r="D59" s="64"/>
      <c r="E59" s="64"/>
      <c r="F59" s="63"/>
      <c r="G59" s="64"/>
      <c r="H59" s="67"/>
      <c r="I59" s="27" t="s">
        <v>13</v>
      </c>
      <c r="J59" s="36"/>
      <c r="K59" s="28"/>
    </row>
    <row r="60" spans="1:11" ht="15">
      <c r="A60" s="30"/>
      <c r="B60" s="20" t="s">
        <v>25</v>
      </c>
      <c r="C60" s="20"/>
      <c r="D60" s="20"/>
      <c r="E60" s="20"/>
      <c r="F60" s="20"/>
      <c r="G60" s="20"/>
      <c r="H60" s="21" t="s">
        <v>26</v>
      </c>
      <c r="I60" s="27"/>
      <c r="J60" s="36"/>
      <c r="K60" s="28"/>
    </row>
    <row r="61" spans="1:11" ht="15">
      <c r="A61" s="30"/>
      <c r="B61" s="63">
        <v>0.01</v>
      </c>
      <c r="C61" s="63"/>
      <c r="D61" s="63"/>
      <c r="E61" s="63"/>
      <c r="F61" s="63"/>
      <c r="G61" s="63"/>
      <c r="H61" s="47">
        <v>100000</v>
      </c>
      <c r="I61" s="68">
        <v>1216.8499999999999</v>
      </c>
      <c r="J61" s="36"/>
      <c r="K61" s="28"/>
    </row>
    <row r="62" spans="1:11" ht="15">
      <c r="A62" s="30"/>
      <c r="B62" s="63" t="s">
        <v>65</v>
      </c>
      <c r="C62" s="63"/>
      <c r="D62" s="63"/>
      <c r="E62" s="63"/>
      <c r="F62" s="63"/>
      <c r="G62" s="63"/>
      <c r="H62" s="47">
        <v>500000</v>
      </c>
      <c r="I62" s="68">
        <v>1952.01</v>
      </c>
      <c r="J62" s="36"/>
      <c r="K62" s="28"/>
    </row>
    <row r="63" spans="1:11" ht="15">
      <c r="A63" s="30"/>
      <c r="B63" s="63">
        <v>500000.01</v>
      </c>
      <c r="C63" s="63"/>
      <c r="D63" s="63"/>
      <c r="E63" s="63"/>
      <c r="F63" s="63"/>
      <c r="G63" s="63"/>
      <c r="H63" s="47">
        <v>800000</v>
      </c>
      <c r="I63" s="68">
        <v>2715.8</v>
      </c>
      <c r="J63" s="36"/>
      <c r="K63" s="28"/>
    </row>
    <row r="64" spans="1:11" ht="15">
      <c r="A64" s="30"/>
      <c r="B64" s="63">
        <v>800000.01</v>
      </c>
      <c r="C64" s="63"/>
      <c r="D64" s="63"/>
      <c r="E64" s="63"/>
      <c r="F64" s="63"/>
      <c r="G64" s="63"/>
      <c r="H64" s="47">
        <v>1000000</v>
      </c>
      <c r="I64" s="68">
        <v>3097.68</v>
      </c>
      <c r="J64" s="36"/>
      <c r="K64" s="28"/>
    </row>
    <row r="65" spans="1:11" ht="15">
      <c r="A65" s="30"/>
      <c r="B65" s="63"/>
      <c r="C65" s="63"/>
      <c r="D65" s="64"/>
      <c r="E65" s="64"/>
      <c r="F65" s="63"/>
      <c r="G65" s="64"/>
      <c r="H65" s="67"/>
      <c r="I65" s="27"/>
      <c r="J65" s="36"/>
      <c r="K65" s="28"/>
    </row>
    <row r="66" spans="1:11" ht="15">
      <c r="A66" s="30"/>
      <c r="B66" s="64" t="s">
        <v>458</v>
      </c>
      <c r="C66" s="63"/>
      <c r="D66" s="63"/>
      <c r="E66" s="63"/>
      <c r="F66" s="63"/>
      <c r="G66" s="63"/>
      <c r="H66" s="47"/>
      <c r="I66" s="27">
        <f>I51</f>
        <v>144.75</v>
      </c>
      <c r="J66" s="36"/>
      <c r="K66" s="28"/>
    </row>
    <row r="67" spans="1:11">
      <c r="A67" s="30"/>
      <c r="B67" s="64" t="s">
        <v>346</v>
      </c>
      <c r="C67" s="63"/>
      <c r="D67" s="63"/>
      <c r="E67" s="63"/>
      <c r="F67" s="63"/>
      <c r="G67" s="63"/>
      <c r="H67" s="47"/>
      <c r="I67" s="280">
        <f>4*I52</f>
        <v>145806.12</v>
      </c>
      <c r="J67" s="36"/>
      <c r="K67" s="28"/>
    </row>
    <row r="68" spans="1:11" ht="15.75" thickBot="1">
      <c r="A68" s="30"/>
      <c r="B68" s="19"/>
      <c r="C68" s="19"/>
      <c r="D68" s="65"/>
      <c r="E68" s="65"/>
      <c r="F68" s="19"/>
      <c r="G68" s="65"/>
      <c r="H68" s="66"/>
      <c r="I68" s="22"/>
      <c r="J68" s="36"/>
      <c r="K68" s="28"/>
    </row>
    <row r="69" spans="1:11" ht="15">
      <c r="A69" s="30"/>
      <c r="B69" s="512" t="s">
        <v>433</v>
      </c>
      <c r="C69" s="513"/>
      <c r="D69" s="513"/>
      <c r="E69" s="513"/>
      <c r="F69" s="513"/>
      <c r="G69" s="513"/>
      <c r="H69" s="513"/>
      <c r="I69" s="514"/>
      <c r="J69" s="36"/>
      <c r="K69" s="28"/>
    </row>
    <row r="70" spans="1:11" ht="15.75" thickBot="1">
      <c r="A70" s="30"/>
      <c r="B70" s="509" t="s">
        <v>67</v>
      </c>
      <c r="C70" s="510"/>
      <c r="D70" s="510"/>
      <c r="E70" s="510"/>
      <c r="F70" s="510"/>
      <c r="G70" s="510"/>
      <c r="H70" s="510"/>
      <c r="I70" s="511"/>
      <c r="J70" s="36"/>
      <c r="K70" s="28"/>
    </row>
    <row r="71" spans="1:11" ht="15">
      <c r="A71" s="30"/>
      <c r="B71" s="63"/>
      <c r="C71" s="63"/>
      <c r="D71" s="64"/>
      <c r="E71" s="64"/>
      <c r="F71" s="63"/>
      <c r="G71" s="64"/>
      <c r="H71" s="67"/>
      <c r="I71" s="27" t="s">
        <v>13</v>
      </c>
      <c r="J71" s="36"/>
      <c r="K71" s="28"/>
    </row>
    <row r="72" spans="1:11" ht="15">
      <c r="A72" s="30"/>
      <c r="B72" s="20" t="s">
        <v>25</v>
      </c>
      <c r="C72" s="20"/>
      <c r="D72" s="20"/>
      <c r="E72" s="20"/>
      <c r="F72" s="20"/>
      <c r="G72" s="20"/>
      <c r="H72" s="21" t="s">
        <v>26</v>
      </c>
      <c r="I72" s="27"/>
      <c r="J72" s="36"/>
      <c r="K72" s="28"/>
    </row>
    <row r="73" spans="1:11" ht="15">
      <c r="A73" s="30"/>
      <c r="B73" s="61">
        <v>0.01</v>
      </c>
      <c r="C73" s="61"/>
      <c r="D73" s="61"/>
      <c r="E73" s="61"/>
      <c r="F73" s="61"/>
      <c r="G73" s="61"/>
      <c r="H73" s="62">
        <v>15000</v>
      </c>
      <c r="I73" s="27">
        <v>130.75</v>
      </c>
      <c r="J73" s="36"/>
      <c r="K73" s="28"/>
    </row>
    <row r="74" spans="1:11" ht="15">
      <c r="A74" s="30"/>
      <c r="B74" s="63">
        <v>15000.01</v>
      </c>
      <c r="C74" s="63"/>
      <c r="D74" s="63"/>
      <c r="E74" s="63"/>
      <c r="F74" s="63"/>
      <c r="G74" s="63"/>
      <c r="H74" s="47">
        <v>30000</v>
      </c>
      <c r="I74" s="27">
        <v>164.77</v>
      </c>
      <c r="J74" s="36"/>
      <c r="K74" s="28"/>
    </row>
    <row r="75" spans="1:11" ht="15">
      <c r="A75" s="30"/>
      <c r="B75" s="63">
        <v>30000.01</v>
      </c>
      <c r="C75" s="63"/>
      <c r="D75" s="63"/>
      <c r="E75" s="63"/>
      <c r="F75" s="63"/>
      <c r="G75" s="63"/>
      <c r="H75" s="47">
        <v>45000</v>
      </c>
      <c r="I75" s="27">
        <v>232.68</v>
      </c>
      <c r="J75" s="36"/>
      <c r="K75" s="28"/>
    </row>
    <row r="76" spans="1:11" ht="15">
      <c r="A76" s="30"/>
      <c r="B76" s="63">
        <v>45000.01</v>
      </c>
      <c r="C76" s="63"/>
      <c r="D76" s="63"/>
      <c r="E76" s="63"/>
      <c r="F76" s="63"/>
      <c r="G76" s="63"/>
      <c r="H76" s="47">
        <v>60000</v>
      </c>
      <c r="I76" s="27">
        <v>266.79000000000002</v>
      </c>
      <c r="J76" s="36"/>
      <c r="K76" s="28"/>
    </row>
    <row r="77" spans="1:11" ht="15">
      <c r="A77" s="30"/>
      <c r="B77" s="63">
        <v>60000.01</v>
      </c>
      <c r="C77" s="63"/>
      <c r="D77" s="63"/>
      <c r="E77" s="63"/>
      <c r="F77" s="63"/>
      <c r="G77" s="63"/>
      <c r="H77" s="47">
        <v>80000</v>
      </c>
      <c r="I77" s="27">
        <v>334.78</v>
      </c>
      <c r="J77" s="36"/>
      <c r="K77" s="28"/>
    </row>
    <row r="78" spans="1:11" ht="15">
      <c r="A78" s="30"/>
      <c r="B78" s="63">
        <v>80000.009999999995</v>
      </c>
      <c r="C78" s="63"/>
      <c r="D78" s="63"/>
      <c r="E78" s="63"/>
      <c r="F78" s="63"/>
      <c r="G78" s="63"/>
      <c r="H78" s="47">
        <v>100000</v>
      </c>
      <c r="I78" s="27">
        <v>408.18</v>
      </c>
      <c r="J78" s="36"/>
      <c r="K78" s="28"/>
    </row>
    <row r="79" spans="1:11" ht="15">
      <c r="A79" s="30"/>
      <c r="B79" s="63">
        <v>100000.01</v>
      </c>
      <c r="C79" s="63"/>
      <c r="D79" s="63"/>
      <c r="E79" s="63"/>
      <c r="F79" s="63"/>
      <c r="G79" s="63"/>
      <c r="H79" s="47">
        <v>200000</v>
      </c>
      <c r="I79" s="27">
        <v>481.39</v>
      </c>
      <c r="J79" s="36"/>
      <c r="K79" s="28"/>
    </row>
    <row r="80" spans="1:11" ht="15">
      <c r="A80" s="30"/>
      <c r="B80" s="63">
        <v>200000.01</v>
      </c>
      <c r="C80" s="63"/>
      <c r="D80" s="63"/>
      <c r="E80" s="63"/>
      <c r="F80" s="63"/>
      <c r="G80" s="63"/>
      <c r="H80" s="47">
        <v>400000</v>
      </c>
      <c r="I80" s="27">
        <v>523.82000000000005</v>
      </c>
      <c r="J80" s="36"/>
      <c r="K80" s="41"/>
    </row>
    <row r="81" spans="1:11" ht="15">
      <c r="A81" s="30"/>
      <c r="B81" s="63"/>
      <c r="C81" s="63"/>
      <c r="D81" s="63"/>
      <c r="E81" s="63"/>
      <c r="F81" s="63"/>
      <c r="G81" s="63"/>
      <c r="H81" s="47"/>
      <c r="I81" s="27"/>
      <c r="J81" s="36"/>
      <c r="K81" s="41"/>
    </row>
    <row r="82" spans="1:11" ht="15">
      <c r="A82" s="30"/>
      <c r="B82" s="64" t="s">
        <v>457</v>
      </c>
      <c r="C82" s="63"/>
      <c r="D82" s="63"/>
      <c r="E82" s="63"/>
      <c r="F82" s="63"/>
      <c r="G82" s="63"/>
      <c r="H82" s="47"/>
      <c r="I82" s="291">
        <v>72.36</v>
      </c>
      <c r="J82" s="36"/>
      <c r="K82" s="41"/>
    </row>
    <row r="83" spans="1:11" ht="15">
      <c r="A83" s="30"/>
      <c r="B83" s="386" t="s">
        <v>344</v>
      </c>
      <c r="C83" s="63"/>
      <c r="D83" s="63"/>
      <c r="E83" s="63"/>
      <c r="F83" s="63"/>
      <c r="G83" s="63"/>
      <c r="H83" s="47"/>
      <c r="I83" s="292">
        <f>50%*I52</f>
        <v>18225.764999999999</v>
      </c>
      <c r="J83" s="36"/>
      <c r="K83" s="41"/>
    </row>
    <row r="84" spans="1:11" ht="15.75" thickBot="1">
      <c r="A84" s="30"/>
      <c r="B84" s="63"/>
      <c r="C84" s="63"/>
      <c r="D84" s="63"/>
      <c r="E84" s="63"/>
      <c r="F84" s="63"/>
      <c r="G84" s="63"/>
      <c r="H84" s="47"/>
      <c r="I84" s="27"/>
      <c r="J84" s="36"/>
      <c r="K84" s="41"/>
    </row>
    <row r="85" spans="1:11" ht="19.5" customHeight="1">
      <c r="A85" s="30"/>
      <c r="B85" s="512" t="s">
        <v>434</v>
      </c>
      <c r="C85" s="513"/>
      <c r="D85" s="513"/>
      <c r="E85" s="513"/>
      <c r="F85" s="513"/>
      <c r="G85" s="513"/>
      <c r="H85" s="513"/>
      <c r="I85" s="514"/>
      <c r="J85" s="36"/>
      <c r="K85" s="28"/>
    </row>
    <row r="86" spans="1:11" ht="15" customHeight="1" thickBot="1">
      <c r="A86" s="30"/>
      <c r="B86" s="509" t="s">
        <v>68</v>
      </c>
      <c r="C86" s="510"/>
      <c r="D86" s="510"/>
      <c r="E86" s="510"/>
      <c r="F86" s="510"/>
      <c r="G86" s="510"/>
      <c r="H86" s="510"/>
      <c r="I86" s="511"/>
      <c r="K86" s="28"/>
    </row>
    <row r="87" spans="1:11" ht="15" customHeight="1">
      <c r="A87" s="30"/>
      <c r="B87" s="521"/>
      <c r="C87" s="521"/>
      <c r="D87" s="521"/>
      <c r="E87" s="521"/>
      <c r="F87" s="521"/>
      <c r="G87" s="521"/>
      <c r="H87" s="532"/>
      <c r="I87" s="27" t="s">
        <v>13</v>
      </c>
      <c r="J87" s="36"/>
      <c r="K87" s="28"/>
    </row>
    <row r="88" spans="1:11" ht="30.75" customHeight="1">
      <c r="A88" s="30"/>
      <c r="B88" s="521" t="s">
        <v>442</v>
      </c>
      <c r="C88" s="521"/>
      <c r="D88" s="521"/>
      <c r="E88" s="521"/>
      <c r="F88" s="521"/>
      <c r="G88" s="521"/>
      <c r="H88" s="532"/>
      <c r="I88" s="27">
        <v>97.89</v>
      </c>
      <c r="J88" s="36"/>
      <c r="K88" s="28"/>
    </row>
    <row r="89" spans="1:11" ht="15" customHeight="1">
      <c r="A89" s="30"/>
      <c r="B89" s="522" t="s">
        <v>70</v>
      </c>
      <c r="C89" s="522"/>
      <c r="D89" s="522"/>
      <c r="E89" s="522"/>
      <c r="F89" s="522"/>
      <c r="G89" s="522"/>
      <c r="H89" s="523"/>
      <c r="I89" s="27">
        <v>326.37</v>
      </c>
      <c r="J89" s="36"/>
      <c r="K89" s="28"/>
    </row>
    <row r="90" spans="1:11" ht="15">
      <c r="A90" s="30"/>
      <c r="B90" s="522" t="s">
        <v>71</v>
      </c>
      <c r="C90" s="522"/>
      <c r="D90" s="522"/>
      <c r="E90" s="522"/>
      <c r="F90" s="522"/>
      <c r="G90" s="522"/>
      <c r="H90" s="523"/>
      <c r="I90" s="27">
        <v>21.71</v>
      </c>
      <c r="J90" s="36"/>
      <c r="K90" s="28"/>
    </row>
    <row r="91" spans="1:11" ht="15" customHeight="1">
      <c r="A91" s="30"/>
      <c r="B91" s="522" t="s">
        <v>72</v>
      </c>
      <c r="C91" s="522"/>
      <c r="D91" s="522"/>
      <c r="E91" s="522"/>
      <c r="F91" s="522"/>
      <c r="G91" s="522"/>
      <c r="H91" s="523"/>
      <c r="I91" s="59">
        <v>30.46</v>
      </c>
      <c r="J91" s="37"/>
      <c r="K91" s="28"/>
    </row>
    <row r="92" spans="1:11" ht="15" customHeight="1">
      <c r="A92" s="30"/>
      <c r="B92" s="495" t="s">
        <v>73</v>
      </c>
      <c r="C92" s="495"/>
      <c r="D92" s="495"/>
      <c r="E92" s="495"/>
      <c r="F92" s="495"/>
      <c r="G92" s="495"/>
      <c r="H92" s="496"/>
      <c r="I92" s="27"/>
      <c r="J92" s="36"/>
      <c r="K92" s="28"/>
    </row>
    <row r="93" spans="1:11" ht="15" customHeight="1">
      <c r="A93" s="30"/>
      <c r="B93" s="522" t="s">
        <v>75</v>
      </c>
      <c r="C93" s="522"/>
      <c r="D93" s="522"/>
      <c r="E93" s="522"/>
      <c r="F93" s="522"/>
      <c r="G93" s="522"/>
      <c r="H93" s="523"/>
      <c r="I93" s="27">
        <v>123.98</v>
      </c>
      <c r="J93" s="36"/>
      <c r="K93" s="28"/>
    </row>
    <row r="94" spans="1:11" ht="15" customHeight="1">
      <c r="A94" s="30"/>
      <c r="B94" s="528" t="s">
        <v>74</v>
      </c>
      <c r="C94" s="528"/>
      <c r="D94" s="528"/>
      <c r="E94" s="528"/>
      <c r="F94" s="528"/>
      <c r="G94" s="528"/>
      <c r="H94" s="529"/>
      <c r="I94" s="27">
        <v>17.899999999999999</v>
      </c>
      <c r="J94" s="36"/>
      <c r="K94" s="41"/>
    </row>
    <row r="95" spans="1:11" ht="15" customHeight="1">
      <c r="A95" s="30"/>
      <c r="B95" s="528" t="s">
        <v>76</v>
      </c>
      <c r="C95" s="528"/>
      <c r="D95" s="528"/>
      <c r="E95" s="528"/>
      <c r="F95" s="528"/>
      <c r="G95" s="528"/>
      <c r="H95" s="529"/>
      <c r="I95" s="27">
        <v>16.27</v>
      </c>
      <c r="J95" s="36"/>
      <c r="K95" s="28"/>
    </row>
    <row r="96" spans="1:11" ht="15" customHeight="1">
      <c r="A96" s="30"/>
      <c r="B96" s="535" t="s">
        <v>77</v>
      </c>
      <c r="C96" s="535"/>
      <c r="D96" s="535"/>
      <c r="E96" s="535"/>
      <c r="F96" s="535"/>
      <c r="G96" s="535"/>
      <c r="H96" s="536"/>
      <c r="I96" s="27">
        <v>73.39</v>
      </c>
      <c r="J96" s="36"/>
      <c r="K96" s="28"/>
    </row>
    <row r="97" spans="1:11" ht="15" customHeight="1">
      <c r="A97" s="30"/>
      <c r="B97" s="521" t="s">
        <v>78</v>
      </c>
      <c r="C97" s="521"/>
      <c r="D97" s="521"/>
      <c r="E97" s="521"/>
      <c r="F97" s="521"/>
      <c r="G97" s="521"/>
      <c r="H97" s="532"/>
      <c r="I97" s="27"/>
      <c r="J97" s="36"/>
      <c r="K97" s="28"/>
    </row>
    <row r="98" spans="1:11" ht="15" customHeight="1">
      <c r="A98" s="30"/>
      <c r="B98" s="522" t="s">
        <v>79</v>
      </c>
      <c r="C98" s="522"/>
      <c r="D98" s="522"/>
      <c r="E98" s="522"/>
      <c r="F98" s="522"/>
      <c r="G98" s="522"/>
      <c r="H98" s="523"/>
      <c r="I98" s="27">
        <v>6.01</v>
      </c>
      <c r="J98" s="36"/>
      <c r="K98" s="28"/>
    </row>
    <row r="99" spans="1:11" ht="15">
      <c r="A99" s="30"/>
      <c r="B99" s="522" t="s">
        <v>80</v>
      </c>
      <c r="C99" s="522"/>
      <c r="D99" s="522"/>
      <c r="E99" s="522"/>
      <c r="F99" s="522"/>
      <c r="G99" s="522"/>
      <c r="H99" s="523"/>
      <c r="I99" s="27">
        <v>1.26</v>
      </c>
      <c r="J99" s="36"/>
      <c r="K99" s="28"/>
    </row>
    <row r="100" spans="1:11" ht="15" customHeight="1">
      <c r="A100" s="30"/>
      <c r="B100" s="522" t="s">
        <v>81</v>
      </c>
      <c r="C100" s="522"/>
      <c r="D100" s="522"/>
      <c r="E100" s="522"/>
      <c r="F100" s="522"/>
      <c r="G100" s="522"/>
      <c r="H100" s="523"/>
      <c r="I100" s="59"/>
      <c r="J100" s="37"/>
      <c r="K100" s="28"/>
    </row>
    <row r="101" spans="1:11" ht="15" customHeight="1">
      <c r="A101" s="30"/>
      <c r="B101" s="522" t="s">
        <v>82</v>
      </c>
      <c r="C101" s="522"/>
      <c r="D101" s="522"/>
      <c r="E101" s="522"/>
      <c r="F101" s="522"/>
      <c r="G101" s="522"/>
      <c r="H101" s="523"/>
      <c r="I101" s="27">
        <v>65.239999999999995</v>
      </c>
      <c r="J101" s="36"/>
      <c r="K101" s="28"/>
    </row>
    <row r="102" spans="1:11" ht="15" customHeight="1">
      <c r="A102" s="30"/>
      <c r="B102" s="522" t="s">
        <v>83</v>
      </c>
      <c r="C102" s="522"/>
      <c r="D102" s="522"/>
      <c r="E102" s="522"/>
      <c r="F102" s="522"/>
      <c r="G102" s="522"/>
      <c r="H102" s="523"/>
      <c r="I102" s="27">
        <v>30.46</v>
      </c>
      <c r="J102" s="36"/>
      <c r="K102" s="28"/>
    </row>
    <row r="103" spans="1:11" ht="15" customHeight="1">
      <c r="A103" s="30"/>
      <c r="B103" s="528" t="s">
        <v>84</v>
      </c>
      <c r="C103" s="528"/>
      <c r="D103" s="528"/>
      <c r="E103" s="528"/>
      <c r="F103" s="528"/>
      <c r="G103" s="528"/>
      <c r="H103" s="529"/>
      <c r="I103" s="27">
        <f>I102</f>
        <v>30.46</v>
      </c>
      <c r="J103" s="36"/>
      <c r="K103" s="41"/>
    </row>
    <row r="104" spans="1:11" ht="15" customHeight="1">
      <c r="A104" s="30"/>
      <c r="B104" s="528" t="s">
        <v>85</v>
      </c>
      <c r="C104" s="528"/>
      <c r="D104" s="528"/>
      <c r="E104" s="528"/>
      <c r="F104" s="528"/>
      <c r="G104" s="528"/>
      <c r="H104" s="529"/>
      <c r="I104" s="27">
        <f>I102</f>
        <v>30.46</v>
      </c>
      <c r="J104" s="36"/>
      <c r="K104" s="28"/>
    </row>
    <row r="105" spans="1:11" ht="15" customHeight="1">
      <c r="A105" s="30"/>
      <c r="B105" s="528" t="s">
        <v>86</v>
      </c>
      <c r="C105" s="528"/>
      <c r="D105" s="528"/>
      <c r="E105" s="528"/>
      <c r="F105" s="528"/>
      <c r="G105" s="528"/>
      <c r="H105" s="529"/>
      <c r="I105" s="27"/>
      <c r="J105" s="36"/>
      <c r="K105" s="28"/>
    </row>
    <row r="106" spans="1:11" ht="15">
      <c r="A106" s="30"/>
      <c r="B106" s="528" t="s">
        <v>87</v>
      </c>
      <c r="C106" s="528"/>
      <c r="D106" s="528"/>
      <c r="E106" s="528"/>
      <c r="F106" s="528"/>
      <c r="G106" s="528"/>
      <c r="H106" s="528"/>
      <c r="I106" s="27"/>
      <c r="K106" s="1"/>
    </row>
    <row r="107" spans="1:11" ht="15" customHeight="1">
      <c r="A107" s="30"/>
      <c r="B107" s="528" t="s">
        <v>88</v>
      </c>
      <c r="C107" s="528"/>
      <c r="D107" s="528"/>
      <c r="E107" s="528"/>
      <c r="F107" s="528"/>
      <c r="G107" s="528"/>
      <c r="H107" s="528"/>
      <c r="I107" s="27">
        <v>293.7</v>
      </c>
      <c r="K107" s="1"/>
    </row>
    <row r="108" spans="1:11" ht="15">
      <c r="A108" s="30"/>
      <c r="B108" s="520" t="s">
        <v>89</v>
      </c>
      <c r="C108" s="520"/>
      <c r="D108" s="520"/>
      <c r="E108" s="520"/>
      <c r="F108" s="520"/>
      <c r="G108" s="520"/>
      <c r="H108" s="520"/>
      <c r="I108" s="27">
        <v>30.46</v>
      </c>
      <c r="K108" s="1"/>
    </row>
    <row r="109" spans="1:11" ht="15">
      <c r="A109" s="30"/>
      <c r="B109" s="520" t="s">
        <v>90</v>
      </c>
      <c r="C109" s="520"/>
      <c r="D109" s="520"/>
      <c r="E109" s="520"/>
      <c r="F109" s="520"/>
      <c r="G109" s="520"/>
      <c r="H109" s="520"/>
      <c r="I109" s="27">
        <v>30.46</v>
      </c>
      <c r="K109" s="1"/>
    </row>
    <row r="110" spans="1:11" ht="15">
      <c r="A110" s="30"/>
      <c r="B110" s="520" t="s">
        <v>91</v>
      </c>
      <c r="C110" s="520"/>
      <c r="D110" s="520"/>
      <c r="E110" s="520"/>
      <c r="F110" s="520"/>
      <c r="G110" s="520"/>
      <c r="H110" s="520"/>
      <c r="I110" s="27">
        <v>97.89</v>
      </c>
      <c r="K110" s="1"/>
    </row>
    <row r="111" spans="1:11" ht="15">
      <c r="A111" s="30"/>
      <c r="B111" s="520" t="s">
        <v>92</v>
      </c>
      <c r="C111" s="520"/>
      <c r="D111" s="520"/>
      <c r="E111" s="520"/>
      <c r="F111" s="520"/>
      <c r="G111" s="520"/>
      <c r="H111" s="520"/>
      <c r="I111" s="27">
        <v>97.89</v>
      </c>
      <c r="K111" s="1"/>
    </row>
    <row r="112" spans="1:11" ht="15">
      <c r="A112" s="30"/>
      <c r="B112" s="520" t="s">
        <v>223</v>
      </c>
      <c r="C112" s="520"/>
      <c r="D112" s="520"/>
      <c r="E112" s="520"/>
      <c r="F112" s="520"/>
      <c r="G112" s="520"/>
      <c r="H112" s="520"/>
      <c r="I112" s="27">
        <v>30.46</v>
      </c>
      <c r="K112" s="1"/>
    </row>
    <row r="113" spans="1:11" ht="15">
      <c r="A113" s="30"/>
      <c r="B113" s="520" t="s">
        <v>93</v>
      </c>
      <c r="C113" s="520"/>
      <c r="D113" s="520"/>
      <c r="E113" s="520"/>
      <c r="F113" s="520"/>
      <c r="G113" s="520"/>
      <c r="H113" s="520"/>
      <c r="I113" s="27">
        <v>2.84</v>
      </c>
      <c r="K113" s="1"/>
    </row>
    <row r="114" spans="1:11" ht="15">
      <c r="A114" s="30"/>
      <c r="B114" s="520" t="s">
        <v>94</v>
      </c>
      <c r="C114" s="520"/>
      <c r="D114" s="520"/>
      <c r="E114" s="520"/>
      <c r="F114" s="520"/>
      <c r="G114" s="520"/>
      <c r="H114" s="520"/>
      <c r="I114" s="27">
        <v>17.079999999999998</v>
      </c>
      <c r="K114" s="1"/>
    </row>
    <row r="115" spans="1:11" s="98" customFormat="1" ht="33.75" customHeight="1">
      <c r="A115" s="96"/>
      <c r="B115" s="527" t="s">
        <v>327</v>
      </c>
      <c r="C115" s="527"/>
      <c r="D115" s="527"/>
      <c r="E115" s="527"/>
      <c r="F115" s="527"/>
      <c r="G115" s="527"/>
      <c r="H115" s="527"/>
      <c r="I115" s="387">
        <v>65.239999999999995</v>
      </c>
      <c r="J115" s="96"/>
      <c r="K115" s="97"/>
    </row>
    <row r="116" spans="1:11" s="98" customFormat="1" ht="24" customHeight="1">
      <c r="A116" s="96"/>
      <c r="B116" s="527" t="s">
        <v>501</v>
      </c>
      <c r="C116" s="527"/>
      <c r="D116" s="527"/>
      <c r="E116" s="527"/>
      <c r="F116" s="527"/>
      <c r="G116" s="527"/>
      <c r="H116" s="527"/>
      <c r="I116" s="387"/>
      <c r="J116" s="96"/>
      <c r="K116" s="97"/>
    </row>
    <row r="117" spans="1:11" s="98" customFormat="1" ht="17.25" customHeight="1">
      <c r="A117" s="96"/>
      <c r="B117" s="534" t="s">
        <v>435</v>
      </c>
      <c r="C117" s="534"/>
      <c r="D117" s="534"/>
      <c r="E117" s="534"/>
      <c r="F117" s="534"/>
      <c r="G117" s="534"/>
      <c r="H117" s="534"/>
      <c r="I117" s="387">
        <v>166.22</v>
      </c>
      <c r="J117" s="96"/>
      <c r="K117" s="97"/>
    </row>
    <row r="118" spans="1:11" s="98" customFormat="1" ht="17.25" customHeight="1">
      <c r="A118" s="96"/>
      <c r="B118" s="534" t="s">
        <v>436</v>
      </c>
      <c r="C118" s="534"/>
      <c r="D118" s="534"/>
      <c r="E118" s="534"/>
      <c r="F118" s="534"/>
      <c r="G118" s="534"/>
      <c r="H118" s="534"/>
      <c r="I118" s="387">
        <v>30.46</v>
      </c>
      <c r="J118" s="96"/>
      <c r="K118" s="97"/>
    </row>
    <row r="119" spans="1:11" s="98" customFormat="1" ht="17.25" customHeight="1">
      <c r="A119" s="96"/>
      <c r="B119" s="534" t="s">
        <v>437</v>
      </c>
      <c r="C119" s="534"/>
      <c r="D119" s="534"/>
      <c r="E119" s="534"/>
      <c r="F119" s="534"/>
      <c r="G119" s="534"/>
      <c r="H119" s="534"/>
      <c r="I119" s="387">
        <v>30.46</v>
      </c>
      <c r="J119" s="96"/>
      <c r="K119" s="97"/>
    </row>
    <row r="120" spans="1:11" s="98" customFormat="1" ht="17.25" customHeight="1">
      <c r="A120" s="96"/>
      <c r="B120" s="534" t="s">
        <v>440</v>
      </c>
      <c r="C120" s="534"/>
      <c r="D120" s="534"/>
      <c r="E120" s="534"/>
      <c r="F120" s="534"/>
      <c r="G120" s="534"/>
      <c r="H120" s="534"/>
      <c r="I120" s="409" t="s">
        <v>441</v>
      </c>
      <c r="J120" s="96"/>
      <c r="K120" s="97"/>
    </row>
    <row r="121" spans="1:11" ht="15" thickBot="1">
      <c r="A121" s="30"/>
      <c r="B121" s="540"/>
      <c r="C121" s="540"/>
      <c r="D121" s="540"/>
      <c r="E121" s="540"/>
      <c r="F121" s="540"/>
      <c r="G121" s="540"/>
      <c r="H121" s="540"/>
      <c r="I121" s="69"/>
      <c r="K121" s="1"/>
    </row>
    <row r="122" spans="1:11" s="7" customFormat="1" ht="14.25" customHeight="1">
      <c r="A122" s="31"/>
      <c r="B122" s="512" t="s">
        <v>95</v>
      </c>
      <c r="C122" s="513"/>
      <c r="D122" s="513"/>
      <c r="E122" s="513"/>
      <c r="F122" s="513"/>
      <c r="G122" s="513"/>
      <c r="H122" s="513"/>
      <c r="I122" s="514"/>
      <c r="J122" s="13"/>
      <c r="K122" s="42"/>
    </row>
    <row r="123" spans="1:11" ht="14.25" customHeight="1" thickBot="1">
      <c r="A123" s="30"/>
      <c r="B123" s="509" t="s">
        <v>9</v>
      </c>
      <c r="C123" s="510"/>
      <c r="D123" s="510"/>
      <c r="E123" s="510"/>
      <c r="F123" s="510"/>
      <c r="G123" s="510"/>
      <c r="H123" s="510"/>
      <c r="I123" s="511"/>
      <c r="K123" s="1"/>
    </row>
    <row r="124" spans="1:11" ht="14.25">
      <c r="A124" s="30"/>
      <c r="B124" s="533"/>
      <c r="C124" s="533"/>
      <c r="D124" s="533"/>
      <c r="E124" s="533"/>
      <c r="F124" s="533"/>
      <c r="G124" s="533"/>
      <c r="H124" s="533"/>
      <c r="I124" s="9"/>
      <c r="K124" s="1"/>
    </row>
    <row r="125" spans="1:11" ht="15">
      <c r="A125" s="30"/>
      <c r="B125" s="530" t="s">
        <v>6</v>
      </c>
      <c r="C125" s="530"/>
      <c r="D125" s="530"/>
      <c r="E125" s="530"/>
      <c r="F125" s="530"/>
      <c r="G125" s="530"/>
      <c r="H125" s="531"/>
      <c r="I125" s="10" t="s">
        <v>13</v>
      </c>
      <c r="K125" s="1"/>
    </row>
    <row r="126" spans="1:11" ht="14.25" customHeight="1">
      <c r="A126" s="30"/>
      <c r="B126" s="522" t="s">
        <v>96</v>
      </c>
      <c r="C126" s="522"/>
      <c r="D126" s="522"/>
      <c r="E126" s="522"/>
      <c r="F126" s="522"/>
      <c r="G126" s="522"/>
      <c r="H126" s="523"/>
      <c r="I126" s="11" t="s">
        <v>15</v>
      </c>
      <c r="K126" s="1"/>
    </row>
    <row r="127" spans="1:11" ht="14.25" customHeight="1">
      <c r="A127" s="30"/>
      <c r="B127" s="522"/>
      <c r="C127" s="522"/>
      <c r="D127" s="522"/>
      <c r="E127" s="522"/>
      <c r="F127" s="522"/>
      <c r="G127" s="522"/>
      <c r="H127" s="523"/>
      <c r="I127" s="11" t="s">
        <v>16</v>
      </c>
      <c r="K127" s="1"/>
    </row>
    <row r="128" spans="1:11" ht="15">
      <c r="A128" s="32"/>
      <c r="B128" s="20" t="s">
        <v>25</v>
      </c>
      <c r="C128" s="20"/>
      <c r="D128" s="20"/>
      <c r="E128" s="20"/>
      <c r="F128" s="20"/>
      <c r="G128" s="20"/>
      <c r="H128" s="21" t="s">
        <v>26</v>
      </c>
      <c r="I128" s="11" t="s">
        <v>15</v>
      </c>
      <c r="K128" s="38"/>
    </row>
    <row r="129" spans="1:11" ht="15">
      <c r="A129" s="30"/>
      <c r="B129" s="17">
        <v>0.01</v>
      </c>
      <c r="C129" s="17"/>
      <c r="D129" s="17"/>
      <c r="E129" s="17"/>
      <c r="F129" s="17"/>
      <c r="G129" s="17"/>
      <c r="H129" s="18">
        <v>15000</v>
      </c>
      <c r="I129" s="68">
        <v>187.63</v>
      </c>
      <c r="J129" s="36"/>
      <c r="K129" s="28"/>
    </row>
    <row r="130" spans="1:11" ht="15">
      <c r="A130" s="30"/>
      <c r="B130" s="17">
        <f t="shared" ref="B130:B136" si="1">H129+0.01</f>
        <v>15000.01</v>
      </c>
      <c r="C130" s="70"/>
      <c r="D130" s="70"/>
      <c r="E130" s="70"/>
      <c r="F130" s="70"/>
      <c r="G130" s="70"/>
      <c r="H130" s="71">
        <v>30000</v>
      </c>
      <c r="I130" s="68">
        <v>310.02</v>
      </c>
      <c r="J130" s="36"/>
      <c r="K130" s="28"/>
    </row>
    <row r="131" spans="1:11" ht="15">
      <c r="A131" s="30"/>
      <c r="B131" s="17">
        <f t="shared" si="1"/>
        <v>30000.01</v>
      </c>
      <c r="C131" s="70"/>
      <c r="D131" s="70"/>
      <c r="E131" s="70"/>
      <c r="F131" s="70"/>
      <c r="G131" s="70"/>
      <c r="H131" s="71">
        <v>45000</v>
      </c>
      <c r="I131" s="68">
        <v>432.45</v>
      </c>
      <c r="J131" s="36"/>
      <c r="K131" s="28"/>
    </row>
    <row r="132" spans="1:11" ht="15">
      <c r="A132" s="30"/>
      <c r="B132" s="17">
        <f t="shared" si="1"/>
        <v>45000.01</v>
      </c>
      <c r="C132" s="70"/>
      <c r="D132" s="70"/>
      <c r="E132" s="70"/>
      <c r="F132" s="70"/>
      <c r="G132" s="70"/>
      <c r="H132" s="71">
        <v>60000</v>
      </c>
      <c r="I132" s="68">
        <v>530.35</v>
      </c>
      <c r="J132" s="36"/>
      <c r="K132" s="28"/>
    </row>
    <row r="133" spans="1:11" ht="15">
      <c r="A133" s="30"/>
      <c r="B133" s="17">
        <f t="shared" si="1"/>
        <v>60000.01</v>
      </c>
      <c r="C133" s="70"/>
      <c r="D133" s="70"/>
      <c r="E133" s="70"/>
      <c r="F133" s="70"/>
      <c r="G133" s="70"/>
      <c r="H133" s="71">
        <v>80000</v>
      </c>
      <c r="I133" s="68">
        <v>940</v>
      </c>
      <c r="J133" s="36"/>
      <c r="K133" s="28"/>
    </row>
    <row r="134" spans="1:11" ht="15">
      <c r="A134" s="30"/>
      <c r="B134" s="17">
        <f t="shared" si="1"/>
        <v>80000.009999999995</v>
      </c>
      <c r="C134" s="70"/>
      <c r="D134" s="70"/>
      <c r="E134" s="70"/>
      <c r="F134" s="70"/>
      <c r="G134" s="70"/>
      <c r="H134" s="71">
        <v>100000</v>
      </c>
      <c r="I134" s="68">
        <v>1109.73</v>
      </c>
      <c r="J134" s="36"/>
      <c r="K134" s="28"/>
    </row>
    <row r="135" spans="1:11" ht="15">
      <c r="A135" s="30"/>
      <c r="B135" s="17">
        <f t="shared" si="1"/>
        <v>100000.01</v>
      </c>
      <c r="C135" s="70"/>
      <c r="D135" s="70"/>
      <c r="E135" s="70"/>
      <c r="F135" s="70"/>
      <c r="G135" s="70"/>
      <c r="H135" s="71">
        <v>200000</v>
      </c>
      <c r="I135" s="68">
        <v>1501.39</v>
      </c>
      <c r="J135" s="36"/>
      <c r="K135" s="28"/>
    </row>
    <row r="136" spans="1:11" ht="15">
      <c r="A136" s="30"/>
      <c r="B136" s="17">
        <f t="shared" si="1"/>
        <v>200000.01</v>
      </c>
      <c r="C136" s="70"/>
      <c r="D136" s="70"/>
      <c r="E136" s="70"/>
      <c r="F136" s="70"/>
      <c r="G136" s="70"/>
      <c r="H136" s="71">
        <v>400000</v>
      </c>
      <c r="I136" s="68">
        <v>1611.02</v>
      </c>
      <c r="J136" s="36"/>
      <c r="K136" s="28"/>
    </row>
    <row r="137" spans="1:11" ht="15">
      <c r="A137" s="30"/>
      <c r="B137" s="70"/>
      <c r="C137" s="70"/>
      <c r="D137" s="70"/>
      <c r="E137" s="70"/>
      <c r="F137" s="70"/>
      <c r="G137" s="70"/>
      <c r="H137" s="71"/>
      <c r="I137" s="68"/>
      <c r="J137" s="36"/>
      <c r="K137" s="28"/>
    </row>
    <row r="138" spans="1:11" ht="15">
      <c r="A138" s="75"/>
      <c r="B138" s="484" t="s">
        <v>507</v>
      </c>
      <c r="C138" s="63"/>
      <c r="D138" s="63"/>
      <c r="E138" s="63"/>
      <c r="F138" s="63"/>
      <c r="G138" s="63"/>
      <c r="H138" s="47"/>
      <c r="I138" s="68">
        <f>I51</f>
        <v>144.75</v>
      </c>
      <c r="J138" s="36"/>
      <c r="K138" s="28"/>
    </row>
    <row r="139" spans="1:11" ht="15">
      <c r="A139" s="75"/>
      <c r="B139" s="72" t="s">
        <v>340</v>
      </c>
      <c r="C139" s="70"/>
      <c r="D139" s="70"/>
      <c r="E139" s="70"/>
      <c r="F139" s="70"/>
      <c r="G139" s="70"/>
      <c r="H139" s="293">
        <f>I52</f>
        <v>36451.53</v>
      </c>
      <c r="I139" s="68"/>
      <c r="J139" s="36"/>
      <c r="K139" s="28"/>
    </row>
    <row r="140" spans="1:11" ht="15">
      <c r="A140" s="75"/>
      <c r="B140" s="72"/>
      <c r="C140" s="70"/>
      <c r="D140" s="70"/>
      <c r="E140" s="70"/>
      <c r="F140" s="70"/>
      <c r="G140" s="70"/>
      <c r="H140" s="71"/>
      <c r="I140" s="68"/>
      <c r="J140" s="36"/>
      <c r="K140" s="28"/>
    </row>
    <row r="141" spans="1:11" s="1" customFormat="1" ht="15">
      <c r="B141" s="72" t="s">
        <v>227</v>
      </c>
      <c r="C141" s="70"/>
      <c r="D141" s="70"/>
      <c r="E141" s="70"/>
      <c r="F141" s="109"/>
      <c r="G141" s="109"/>
      <c r="H141" s="71"/>
      <c r="I141" s="68"/>
    </row>
    <row r="142" spans="1:11" s="1" customFormat="1" ht="15">
      <c r="B142" s="108" t="s">
        <v>228</v>
      </c>
      <c r="C142" s="70"/>
      <c r="D142" s="70"/>
      <c r="E142" s="70"/>
      <c r="F142" s="109"/>
      <c r="G142" s="109"/>
      <c r="H142" s="71"/>
      <c r="I142" s="68">
        <f>I129</f>
        <v>187.63</v>
      </c>
    </row>
    <row r="143" spans="1:11" s="1" customFormat="1" ht="15">
      <c r="B143" s="108" t="s">
        <v>341</v>
      </c>
      <c r="C143" s="70"/>
      <c r="D143" s="70"/>
      <c r="E143" s="70"/>
      <c r="F143" s="109"/>
      <c r="G143" s="109"/>
      <c r="H143" s="71"/>
      <c r="I143" s="487">
        <f>Notas!J19</f>
        <v>4619.7</v>
      </c>
    </row>
    <row r="144" spans="1:11" ht="15">
      <c r="A144" s="75"/>
      <c r="B144" s="548" t="s">
        <v>415</v>
      </c>
      <c r="C144" s="548"/>
      <c r="D144" s="548"/>
      <c r="E144" s="548"/>
      <c r="F144" s="548"/>
      <c r="G144" s="548"/>
      <c r="H144" s="549"/>
      <c r="I144" s="485">
        <v>6466.54</v>
      </c>
      <c r="J144" s="371"/>
      <c r="K144" s="28"/>
    </row>
    <row r="145" spans="1:11" ht="15">
      <c r="A145" s="75"/>
      <c r="B145" s="73" t="s">
        <v>314</v>
      </c>
      <c r="C145" s="70"/>
      <c r="D145" s="70"/>
      <c r="E145" s="70"/>
      <c r="F145" s="70"/>
      <c r="G145" s="70"/>
      <c r="H145" s="71"/>
      <c r="I145" s="68">
        <v>1310.1099999999999</v>
      </c>
      <c r="J145" s="36"/>
      <c r="K145" s="28"/>
    </row>
    <row r="146" spans="1:11" ht="15">
      <c r="A146" s="75"/>
      <c r="B146" s="73" t="s">
        <v>325</v>
      </c>
      <c r="C146" s="70"/>
      <c r="D146" s="70"/>
      <c r="E146" s="70"/>
      <c r="F146" s="70"/>
      <c r="G146" s="70"/>
      <c r="H146" s="71"/>
      <c r="I146" s="68">
        <v>90.29</v>
      </c>
      <c r="J146" s="36"/>
      <c r="K146" s="28"/>
    </row>
    <row r="147" spans="1:11" ht="15">
      <c r="A147" s="75"/>
      <c r="B147" s="73" t="s">
        <v>97</v>
      </c>
      <c r="C147" s="70"/>
      <c r="D147" s="70"/>
      <c r="E147" s="70"/>
      <c r="F147" s="70"/>
      <c r="G147" s="70"/>
      <c r="H147" s="71"/>
      <c r="I147" s="27"/>
      <c r="J147" s="36"/>
      <c r="K147" s="28"/>
    </row>
    <row r="148" spans="1:11" ht="15">
      <c r="A148" s="75"/>
      <c r="B148" s="73" t="s">
        <v>98</v>
      </c>
      <c r="C148" s="70"/>
      <c r="D148" s="70"/>
      <c r="E148" s="70"/>
      <c r="F148" s="70"/>
      <c r="G148" s="70"/>
      <c r="H148" s="71"/>
      <c r="I148" s="27">
        <v>99.53</v>
      </c>
      <c r="J148" s="36"/>
      <c r="K148" s="28"/>
    </row>
    <row r="149" spans="1:11" ht="15">
      <c r="A149" s="75"/>
      <c r="B149" s="73" t="s">
        <v>99</v>
      </c>
      <c r="C149" s="70"/>
      <c r="D149" s="70"/>
      <c r="E149" s="70"/>
      <c r="F149" s="70"/>
      <c r="G149" s="70"/>
      <c r="H149" s="71"/>
      <c r="I149" s="27">
        <v>261.07</v>
      </c>
      <c r="J149" s="36"/>
      <c r="K149" s="28"/>
    </row>
    <row r="150" spans="1:11" ht="15">
      <c r="A150" s="75"/>
      <c r="B150" s="73" t="s">
        <v>100</v>
      </c>
      <c r="C150" s="70"/>
      <c r="D150" s="70"/>
      <c r="E150" s="70"/>
      <c r="F150" s="70"/>
      <c r="G150" s="70"/>
      <c r="H150" s="71"/>
      <c r="I150" s="27"/>
      <c r="J150" s="36"/>
      <c r="K150" s="28"/>
    </row>
    <row r="151" spans="1:11" ht="15">
      <c r="A151" s="75"/>
      <c r="B151" s="73" t="s">
        <v>101</v>
      </c>
      <c r="C151" s="76"/>
      <c r="D151" s="70"/>
      <c r="E151" s="70"/>
      <c r="F151" s="70"/>
      <c r="G151" s="70"/>
      <c r="H151" s="71"/>
      <c r="I151" s="27">
        <v>99.53</v>
      </c>
      <c r="J151" s="36"/>
      <c r="K151" s="28"/>
    </row>
    <row r="152" spans="1:11" ht="15">
      <c r="A152" s="75"/>
      <c r="B152" s="73"/>
      <c r="C152" s="70"/>
      <c r="D152" s="70"/>
      <c r="E152" s="70"/>
      <c r="F152" s="70"/>
      <c r="G152" s="70"/>
      <c r="H152" s="71"/>
      <c r="I152" s="27"/>
      <c r="J152" s="36"/>
      <c r="K152" s="28"/>
    </row>
    <row r="153" spans="1:11" ht="15">
      <c r="A153" s="75"/>
      <c r="B153" s="73" t="s">
        <v>102</v>
      </c>
      <c r="C153" s="70"/>
      <c r="D153" s="70"/>
      <c r="E153" s="70"/>
      <c r="F153" s="70"/>
      <c r="G153" s="70"/>
      <c r="H153" s="71"/>
      <c r="I153" s="27">
        <v>138.66999999999999</v>
      </c>
      <c r="J153" s="36"/>
      <c r="K153" s="28"/>
    </row>
    <row r="154" spans="1:11" ht="15">
      <c r="A154" s="75"/>
      <c r="B154" s="73" t="s">
        <v>256</v>
      </c>
      <c r="C154" s="70"/>
      <c r="D154" s="70"/>
      <c r="E154" s="70"/>
      <c r="F154" s="70"/>
      <c r="G154" s="70"/>
      <c r="H154" s="71"/>
      <c r="I154" s="27">
        <v>16.27</v>
      </c>
      <c r="J154" s="36"/>
      <c r="K154" s="28"/>
    </row>
    <row r="155" spans="1:11" ht="15">
      <c r="A155" s="75"/>
      <c r="B155" s="73" t="s">
        <v>103</v>
      </c>
      <c r="C155" s="70"/>
      <c r="D155" s="70"/>
      <c r="E155" s="70"/>
      <c r="F155" s="70"/>
      <c r="G155" s="70"/>
      <c r="H155" s="71"/>
      <c r="I155" s="27"/>
      <c r="J155" s="36"/>
      <c r="K155" s="28"/>
    </row>
    <row r="156" spans="1:11" ht="15">
      <c r="A156" s="75"/>
      <c r="B156" s="73" t="s">
        <v>104</v>
      </c>
      <c r="C156" s="70"/>
      <c r="D156" s="70"/>
      <c r="E156" s="70"/>
      <c r="F156" s="70"/>
      <c r="G156" s="70"/>
      <c r="H156" s="71"/>
      <c r="I156" s="27">
        <v>17.079999999999998</v>
      </c>
      <c r="J156" s="36"/>
      <c r="K156" s="28"/>
    </row>
    <row r="157" spans="1:11" ht="15">
      <c r="A157" s="75"/>
      <c r="B157" s="73" t="s">
        <v>105</v>
      </c>
      <c r="C157" s="70"/>
      <c r="D157" s="70"/>
      <c r="E157" s="70"/>
      <c r="F157" s="70"/>
      <c r="G157" s="70"/>
      <c r="H157" s="71"/>
      <c r="I157" s="27">
        <v>244.75</v>
      </c>
      <c r="J157" s="36"/>
      <c r="K157" s="28"/>
    </row>
    <row r="158" spans="1:11" ht="15">
      <c r="A158" s="75"/>
      <c r="B158" s="73" t="s">
        <v>106</v>
      </c>
      <c r="C158" s="70"/>
      <c r="D158" s="70"/>
      <c r="E158" s="70"/>
      <c r="F158" s="70"/>
      <c r="G158" s="70"/>
      <c r="H158" s="71"/>
      <c r="I158" s="27"/>
      <c r="J158" s="36"/>
      <c r="K158" s="28"/>
    </row>
    <row r="159" spans="1:11" ht="15">
      <c r="A159" s="75"/>
      <c r="B159" s="73" t="s">
        <v>107</v>
      </c>
      <c r="C159" s="70"/>
      <c r="D159" s="70"/>
      <c r="E159" s="70"/>
      <c r="F159" s="70"/>
      <c r="G159" s="70"/>
      <c r="H159" s="71"/>
      <c r="I159" s="27">
        <v>50.53</v>
      </c>
      <c r="J159" s="36"/>
      <c r="K159" s="28"/>
    </row>
    <row r="160" spans="1:11" ht="15">
      <c r="A160" s="75"/>
      <c r="B160" s="73" t="s">
        <v>108</v>
      </c>
      <c r="C160" s="70"/>
      <c r="D160" s="70"/>
      <c r="E160" s="70"/>
      <c r="F160" s="70"/>
      <c r="G160" s="70"/>
      <c r="H160" s="71"/>
      <c r="I160" s="27">
        <v>8.1</v>
      </c>
      <c r="J160" s="36"/>
      <c r="K160" s="28"/>
    </row>
    <row r="161" spans="1:11" ht="15">
      <c r="A161" s="75"/>
      <c r="B161" s="73" t="s">
        <v>109</v>
      </c>
      <c r="C161" s="70"/>
      <c r="D161" s="70"/>
      <c r="E161" s="70"/>
      <c r="F161" s="70"/>
      <c r="G161" s="70"/>
      <c r="H161" s="71"/>
      <c r="I161" s="27"/>
      <c r="J161" s="36"/>
      <c r="K161" s="28"/>
    </row>
    <row r="162" spans="1:11" ht="15">
      <c r="A162" s="75"/>
      <c r="B162" s="73" t="s">
        <v>110</v>
      </c>
      <c r="C162" s="70"/>
      <c r="D162" s="70"/>
      <c r="E162" s="70"/>
      <c r="F162" s="70"/>
      <c r="G162" s="70"/>
      <c r="H162" s="71"/>
      <c r="I162" s="27">
        <v>5.56</v>
      </c>
      <c r="J162" s="36"/>
      <c r="K162" s="28"/>
    </row>
    <row r="163" spans="1:11" ht="15">
      <c r="A163" s="75"/>
      <c r="B163" s="73" t="s">
        <v>111</v>
      </c>
      <c r="C163" s="70"/>
      <c r="D163" s="70"/>
      <c r="E163" s="70"/>
      <c r="F163" s="70"/>
      <c r="G163" s="70"/>
      <c r="H163" s="71"/>
      <c r="I163" s="27">
        <v>5.41</v>
      </c>
      <c r="J163" s="36"/>
      <c r="K163" s="28"/>
    </row>
    <row r="164" spans="1:11" ht="15">
      <c r="A164" s="75"/>
      <c r="B164" s="73" t="s">
        <v>112</v>
      </c>
      <c r="C164" s="70"/>
      <c r="D164" s="70"/>
      <c r="E164" s="70"/>
      <c r="F164" s="70"/>
      <c r="G164" s="70"/>
      <c r="H164" s="71"/>
      <c r="I164" s="27">
        <v>12.06</v>
      </c>
      <c r="J164" s="36"/>
      <c r="K164" s="28"/>
    </row>
    <row r="165" spans="1:11" ht="15">
      <c r="A165" s="75"/>
      <c r="B165" s="73" t="s">
        <v>113</v>
      </c>
      <c r="C165" s="70"/>
      <c r="D165" s="70"/>
      <c r="E165" s="70"/>
      <c r="F165" s="70"/>
      <c r="G165" s="70"/>
      <c r="H165" s="71"/>
      <c r="I165" s="27">
        <v>5.57</v>
      </c>
      <c r="J165" s="36"/>
      <c r="K165" s="28"/>
    </row>
    <row r="166" spans="1:11" ht="15">
      <c r="A166" s="75"/>
      <c r="B166" s="73" t="s">
        <v>114</v>
      </c>
      <c r="C166" s="70"/>
      <c r="D166" s="70"/>
      <c r="E166" s="70"/>
      <c r="F166" s="70"/>
      <c r="G166" s="70"/>
      <c r="H166" s="71"/>
      <c r="I166" s="27"/>
      <c r="J166" s="36"/>
      <c r="K166" s="28"/>
    </row>
    <row r="167" spans="1:11" ht="15">
      <c r="A167" s="75"/>
      <c r="B167" s="73" t="s">
        <v>115</v>
      </c>
      <c r="C167" s="70"/>
      <c r="D167" s="70"/>
      <c r="E167" s="70"/>
      <c r="F167" s="70"/>
      <c r="G167" s="70"/>
      <c r="H167" s="71"/>
      <c r="I167" s="27"/>
      <c r="J167" s="36"/>
      <c r="K167" s="28"/>
    </row>
    <row r="168" spans="1:11" ht="15">
      <c r="A168" s="75"/>
      <c r="B168" s="73" t="s">
        <v>116</v>
      </c>
      <c r="C168" s="70"/>
      <c r="D168" s="70"/>
      <c r="E168" s="70"/>
      <c r="F168" s="70"/>
      <c r="G168" s="70"/>
      <c r="H168" s="71"/>
      <c r="I168" s="27">
        <v>267.60000000000002</v>
      </c>
      <c r="J168" s="36"/>
      <c r="K168" s="28"/>
    </row>
    <row r="169" spans="1:11" ht="15">
      <c r="A169" s="75"/>
      <c r="B169" s="73" t="s">
        <v>117</v>
      </c>
      <c r="C169" s="70"/>
      <c r="D169" s="70"/>
      <c r="E169" s="70"/>
      <c r="F169" s="70"/>
      <c r="G169" s="70"/>
      <c r="H169" s="71"/>
      <c r="I169" s="27">
        <v>391.65</v>
      </c>
      <c r="J169" s="36"/>
      <c r="K169" s="28"/>
    </row>
    <row r="170" spans="1:11" ht="15">
      <c r="A170" s="75"/>
      <c r="B170" s="73" t="s">
        <v>118</v>
      </c>
      <c r="C170" s="70"/>
      <c r="D170" s="70"/>
      <c r="E170" s="70"/>
      <c r="F170" s="70"/>
      <c r="G170" s="70"/>
      <c r="H170" s="71"/>
      <c r="I170" s="27">
        <v>391.65</v>
      </c>
      <c r="J170" s="36"/>
      <c r="K170" s="28"/>
    </row>
    <row r="171" spans="1:11" ht="15">
      <c r="A171" s="75"/>
      <c r="B171" s="73" t="s">
        <v>119</v>
      </c>
      <c r="C171" s="70"/>
      <c r="D171" s="70"/>
      <c r="E171" s="70"/>
      <c r="F171" s="70"/>
      <c r="G171" s="70"/>
      <c r="H171" s="16"/>
      <c r="I171" s="27">
        <v>130.5</v>
      </c>
      <c r="J171" s="36"/>
      <c r="K171" s="28"/>
    </row>
    <row r="172" spans="1:11" ht="15">
      <c r="A172" s="75"/>
      <c r="B172" s="73" t="s">
        <v>120</v>
      </c>
      <c r="C172" s="70"/>
      <c r="D172" s="70"/>
      <c r="E172" s="70"/>
      <c r="F172" s="70"/>
      <c r="G172" s="70"/>
      <c r="H172" s="16"/>
      <c r="I172" s="27">
        <v>122.49</v>
      </c>
      <c r="J172" s="36"/>
      <c r="K172" s="28"/>
    </row>
    <row r="173" spans="1:11" ht="15">
      <c r="A173" s="75"/>
      <c r="B173" s="73" t="s">
        <v>121</v>
      </c>
      <c r="C173" s="70"/>
      <c r="D173" s="70"/>
      <c r="E173" s="70"/>
      <c r="F173" s="70"/>
      <c r="G173" s="70"/>
      <c r="H173" s="16"/>
      <c r="I173" s="27">
        <v>163.15</v>
      </c>
      <c r="J173" s="36"/>
      <c r="K173" s="28"/>
    </row>
    <row r="174" spans="1:11" ht="15">
      <c r="A174" s="75"/>
      <c r="B174" s="73" t="s">
        <v>122</v>
      </c>
      <c r="C174" s="70"/>
      <c r="D174" s="70"/>
      <c r="E174" s="70"/>
      <c r="F174" s="70"/>
      <c r="G174" s="70"/>
      <c r="H174" s="16"/>
      <c r="I174" s="27">
        <v>24.42</v>
      </c>
      <c r="J174" s="36"/>
      <c r="K174" s="28"/>
    </row>
    <row r="175" spans="1:11" ht="15">
      <c r="A175" s="75"/>
      <c r="B175" s="73" t="s">
        <v>451</v>
      </c>
      <c r="C175" s="70"/>
      <c r="D175" s="70"/>
      <c r="E175" s="70"/>
      <c r="F175" s="70"/>
      <c r="G175" s="70"/>
      <c r="H175" s="16"/>
      <c r="I175" s="27"/>
      <c r="J175" s="36"/>
      <c r="K175" s="28"/>
    </row>
    <row r="176" spans="1:11" ht="15">
      <c r="A176" s="75"/>
      <c r="B176" s="72" t="s">
        <v>452</v>
      </c>
      <c r="C176" s="70"/>
      <c r="D176" s="70"/>
      <c r="E176" s="70"/>
      <c r="F176" s="420"/>
      <c r="G176" s="420"/>
      <c r="H176" s="421" t="s">
        <v>456</v>
      </c>
      <c r="I176" s="27"/>
      <c r="J176" s="36"/>
      <c r="K176" s="28"/>
    </row>
    <row r="177" spans="1:11" ht="15">
      <c r="A177" s="75"/>
      <c r="B177" s="73" t="s">
        <v>448</v>
      </c>
      <c r="C177" s="70"/>
      <c r="D177" s="70"/>
      <c r="E177" s="70"/>
      <c r="F177" s="70"/>
      <c r="G177" s="70"/>
      <c r="H177" s="16"/>
      <c r="I177" s="27">
        <v>166.22</v>
      </c>
      <c r="J177" s="36"/>
      <c r="K177" s="28"/>
    </row>
    <row r="178" spans="1:11" ht="15">
      <c r="A178" s="75"/>
      <c r="B178" s="73" t="s">
        <v>444</v>
      </c>
      <c r="C178" s="70"/>
      <c r="D178" s="70"/>
      <c r="E178" s="70"/>
      <c r="F178" s="70"/>
      <c r="G178" s="70"/>
      <c r="H178" s="16"/>
      <c r="I178" s="27">
        <v>30.46</v>
      </c>
      <c r="J178" s="36"/>
      <c r="K178" s="28"/>
    </row>
    <row r="179" spans="1:11" ht="15">
      <c r="A179" s="75"/>
      <c r="B179" s="73" t="s">
        <v>446</v>
      </c>
      <c r="C179" s="70"/>
      <c r="D179" s="70"/>
      <c r="E179" s="70"/>
      <c r="F179" s="70"/>
      <c r="G179" s="70"/>
      <c r="H179" s="16"/>
      <c r="I179" s="27">
        <v>30.46</v>
      </c>
      <c r="J179" s="36"/>
      <c r="K179" s="28"/>
    </row>
    <row r="180" spans="1:11" ht="15">
      <c r="A180" s="75"/>
      <c r="B180" s="73" t="s">
        <v>449</v>
      </c>
      <c r="C180" s="70"/>
      <c r="D180" s="70"/>
      <c r="E180" s="70"/>
      <c r="F180" s="70"/>
      <c r="G180" s="70"/>
      <c r="H180" s="16"/>
      <c r="I180" s="27">
        <v>99.53</v>
      </c>
      <c r="J180" s="36"/>
      <c r="K180" s="28"/>
    </row>
    <row r="181" spans="1:11" ht="15">
      <c r="A181" s="75"/>
      <c r="B181" s="72" t="s">
        <v>450</v>
      </c>
      <c r="C181" s="70"/>
      <c r="D181" s="70"/>
      <c r="E181" s="70"/>
      <c r="F181" s="70"/>
      <c r="G181" s="70"/>
      <c r="H181" s="421" t="s">
        <v>456</v>
      </c>
      <c r="I181" s="27">
        <v>11.16</v>
      </c>
      <c r="J181" s="36"/>
      <c r="K181" s="28"/>
    </row>
    <row r="182" spans="1:11" ht="15">
      <c r="A182" s="30"/>
      <c r="B182" s="70"/>
      <c r="C182" s="70"/>
      <c r="D182" s="70"/>
      <c r="E182" s="70"/>
      <c r="F182" s="70"/>
      <c r="G182" s="70"/>
      <c r="H182" s="16"/>
      <c r="I182" s="27"/>
      <c r="J182" s="36"/>
      <c r="K182" s="28"/>
    </row>
    <row r="183" spans="1:11" ht="15" customHeight="1">
      <c r="B183" s="528" t="s">
        <v>124</v>
      </c>
      <c r="C183" s="528"/>
      <c r="D183" s="528"/>
      <c r="E183" s="528"/>
      <c r="F183" s="528"/>
      <c r="G183" s="528"/>
      <c r="H183" s="529"/>
      <c r="I183" s="48">
        <f>I10</f>
        <v>12</v>
      </c>
      <c r="J183" s="36"/>
      <c r="K183" s="28"/>
    </row>
    <row r="184" spans="1:11" ht="26.25" customHeight="1">
      <c r="B184" s="528" t="s">
        <v>125</v>
      </c>
      <c r="C184" s="528"/>
      <c r="D184" s="528"/>
      <c r="E184" s="528"/>
      <c r="F184" s="528"/>
      <c r="G184" s="528"/>
      <c r="H184" s="528"/>
      <c r="I184" s="24"/>
      <c r="K184" s="1"/>
    </row>
    <row r="185" spans="1:11" ht="15" customHeight="1">
      <c r="A185"/>
      <c r="B185" s="528"/>
      <c r="C185" s="528"/>
      <c r="D185" s="528"/>
      <c r="E185" s="528"/>
      <c r="F185" s="528"/>
      <c r="G185" s="528"/>
      <c r="H185" s="528"/>
      <c r="I185" s="24"/>
      <c r="K185" s="1"/>
    </row>
    <row r="186" spans="1:11" ht="15" thickBot="1">
      <c r="A186"/>
      <c r="B186" s="74"/>
      <c r="C186" s="74"/>
      <c r="D186" s="74"/>
      <c r="E186" s="74"/>
      <c r="F186" s="74"/>
      <c r="G186" s="74"/>
      <c r="H186" s="57"/>
      <c r="I186" s="9"/>
      <c r="K186" s="1"/>
    </row>
    <row r="187" spans="1:11" ht="14.25" customHeight="1">
      <c r="A187"/>
      <c r="B187" s="512" t="s">
        <v>126</v>
      </c>
      <c r="C187" s="513"/>
      <c r="D187" s="513"/>
      <c r="E187" s="513"/>
      <c r="F187" s="513"/>
      <c r="G187" s="513"/>
      <c r="H187" s="513"/>
      <c r="I187" s="514"/>
      <c r="K187" s="1"/>
    </row>
    <row r="188" spans="1:11" ht="14.25" customHeight="1" thickBot="1">
      <c r="A188"/>
      <c r="B188" s="509" t="s">
        <v>12</v>
      </c>
      <c r="C188" s="510"/>
      <c r="D188" s="510"/>
      <c r="E188" s="510"/>
      <c r="F188" s="510"/>
      <c r="G188" s="510"/>
      <c r="H188" s="510"/>
      <c r="I188" s="511"/>
      <c r="K188" s="1"/>
    </row>
    <row r="189" spans="1:11" ht="14.25" customHeight="1">
      <c r="A189"/>
      <c r="B189" s="498" t="s">
        <v>127</v>
      </c>
      <c r="C189" s="498"/>
      <c r="D189" s="498"/>
      <c r="E189" s="498"/>
      <c r="F189" s="498"/>
      <c r="G189" s="498"/>
      <c r="H189" s="499"/>
      <c r="I189" s="23" t="s">
        <v>13</v>
      </c>
      <c r="K189" s="1"/>
    </row>
    <row r="190" spans="1:11" ht="34.5" customHeight="1">
      <c r="A190"/>
      <c r="B190" s="522" t="s">
        <v>18</v>
      </c>
      <c r="C190" s="522"/>
      <c r="D190" s="522"/>
      <c r="E190" s="522"/>
      <c r="F190" s="522"/>
      <c r="G190" s="522"/>
      <c r="H190" s="523"/>
      <c r="I190" s="11" t="s">
        <v>15</v>
      </c>
      <c r="K190" s="1"/>
    </row>
    <row r="191" spans="1:11" ht="15">
      <c r="A191"/>
      <c r="B191" s="56" t="s">
        <v>31</v>
      </c>
      <c r="C191" s="57" t="s">
        <v>28</v>
      </c>
      <c r="D191" s="57" t="s">
        <v>55</v>
      </c>
      <c r="E191" s="6"/>
      <c r="F191" s="57" t="s">
        <v>128</v>
      </c>
      <c r="G191" s="6"/>
      <c r="H191" s="15"/>
      <c r="I191" s="11"/>
      <c r="K191" s="1"/>
    </row>
    <row r="192" spans="1:11" ht="14.25">
      <c r="A192"/>
      <c r="B192" s="57" t="s">
        <v>129</v>
      </c>
      <c r="C192" s="57">
        <v>0.01</v>
      </c>
      <c r="D192" s="57" t="s">
        <v>55</v>
      </c>
      <c r="E192" s="6"/>
      <c r="F192" s="17">
        <v>50</v>
      </c>
      <c r="G192" s="6"/>
      <c r="H192" s="15"/>
      <c r="I192" s="77">
        <v>12.59</v>
      </c>
      <c r="K192" s="1"/>
    </row>
    <row r="193" spans="1:11" ht="14.25">
      <c r="A193"/>
      <c r="B193" s="57" t="s">
        <v>56</v>
      </c>
      <c r="C193" s="57">
        <v>50.01</v>
      </c>
      <c r="D193" s="57" t="s">
        <v>55</v>
      </c>
      <c r="E193" s="6"/>
      <c r="F193" s="17">
        <v>100</v>
      </c>
      <c r="G193" s="6"/>
      <c r="H193" s="15"/>
      <c r="I193" s="77">
        <v>25.34</v>
      </c>
      <c r="K193" s="1"/>
    </row>
    <row r="194" spans="1:11" ht="14.25">
      <c r="A194"/>
      <c r="B194" s="57" t="s">
        <v>27</v>
      </c>
      <c r="C194" s="57">
        <v>100.01</v>
      </c>
      <c r="D194" s="57" t="s">
        <v>55</v>
      </c>
      <c r="E194" s="6"/>
      <c r="F194" s="17">
        <v>150</v>
      </c>
      <c r="G194" s="6"/>
      <c r="H194" s="15"/>
      <c r="I194" s="77">
        <v>37.96</v>
      </c>
      <c r="K194" s="1"/>
    </row>
    <row r="195" spans="1:11" ht="14.25">
      <c r="A195"/>
      <c r="B195" s="57" t="s">
        <v>57</v>
      </c>
      <c r="C195" s="57">
        <v>150.01</v>
      </c>
      <c r="D195" s="57" t="s">
        <v>55</v>
      </c>
      <c r="E195" s="6"/>
      <c r="F195" s="17">
        <v>200</v>
      </c>
      <c r="G195" s="6"/>
      <c r="H195" s="15"/>
      <c r="I195" s="77">
        <v>50.71</v>
      </c>
      <c r="K195" s="1"/>
    </row>
    <row r="196" spans="1:11" ht="14.25">
      <c r="A196"/>
      <c r="B196" s="57" t="s">
        <v>58</v>
      </c>
      <c r="C196" s="57">
        <v>200.01</v>
      </c>
      <c r="D196" s="57" t="s">
        <v>55</v>
      </c>
      <c r="E196" s="6"/>
      <c r="F196" s="17">
        <v>250</v>
      </c>
      <c r="G196" s="6"/>
      <c r="H196" s="15"/>
      <c r="I196" s="77">
        <v>63.35</v>
      </c>
      <c r="K196" s="1"/>
    </row>
    <row r="197" spans="1:11" ht="14.25">
      <c r="A197"/>
      <c r="B197" s="57" t="s">
        <v>59</v>
      </c>
      <c r="C197" s="57">
        <v>250.01</v>
      </c>
      <c r="D197" s="57" t="s">
        <v>55</v>
      </c>
      <c r="E197" s="6"/>
      <c r="F197" s="17">
        <v>300</v>
      </c>
      <c r="G197" s="6"/>
      <c r="H197" s="15"/>
      <c r="I197" s="77">
        <v>75.989999999999995</v>
      </c>
      <c r="K197" s="1"/>
    </row>
    <row r="198" spans="1:11" ht="14.25">
      <c r="A198"/>
      <c r="B198" s="57" t="s">
        <v>130</v>
      </c>
      <c r="C198" s="57">
        <v>300.01</v>
      </c>
      <c r="D198" s="57" t="s">
        <v>55</v>
      </c>
      <c r="E198" s="6"/>
      <c r="F198" s="17">
        <v>350</v>
      </c>
      <c r="G198" s="6"/>
      <c r="H198" s="15"/>
      <c r="I198" s="77">
        <v>88.75</v>
      </c>
      <c r="K198" s="1"/>
    </row>
    <row r="199" spans="1:11" ht="14.25">
      <c r="A199"/>
      <c r="B199" s="57" t="s">
        <v>131</v>
      </c>
      <c r="C199" s="57">
        <v>350.01</v>
      </c>
      <c r="D199" s="57" t="s">
        <v>55</v>
      </c>
      <c r="E199" s="6"/>
      <c r="F199" s="17">
        <v>400</v>
      </c>
      <c r="G199" s="6"/>
      <c r="H199" s="15"/>
      <c r="I199" s="77">
        <v>101.38</v>
      </c>
      <c r="K199" s="1"/>
    </row>
    <row r="200" spans="1:11" ht="14.25">
      <c r="A200"/>
      <c r="B200" s="57" t="s">
        <v>132</v>
      </c>
      <c r="C200" s="57">
        <v>400.01</v>
      </c>
      <c r="D200" s="57" t="s">
        <v>55</v>
      </c>
      <c r="E200" s="6"/>
      <c r="F200" s="17">
        <v>450</v>
      </c>
      <c r="G200" s="6"/>
      <c r="H200" s="15"/>
      <c r="I200" s="77">
        <v>114.02</v>
      </c>
      <c r="K200" s="1"/>
    </row>
    <row r="201" spans="1:11" ht="14.25">
      <c r="A201"/>
      <c r="B201" s="57" t="s">
        <v>133</v>
      </c>
      <c r="C201" s="57">
        <v>450.01</v>
      </c>
      <c r="D201" s="57" t="s">
        <v>55</v>
      </c>
      <c r="E201" s="6"/>
      <c r="F201" s="17">
        <v>500</v>
      </c>
      <c r="G201" s="6"/>
      <c r="H201" s="15"/>
      <c r="I201" s="77">
        <v>126.75</v>
      </c>
      <c r="K201" s="1"/>
    </row>
    <row r="202" spans="1:11" ht="14.25">
      <c r="A202"/>
      <c r="B202" s="57" t="s">
        <v>134</v>
      </c>
      <c r="C202" s="57">
        <v>500.01</v>
      </c>
      <c r="D202" s="57" t="s">
        <v>55</v>
      </c>
      <c r="E202" s="6"/>
      <c r="F202" s="17">
        <v>600</v>
      </c>
      <c r="G202" s="6"/>
      <c r="H202" s="15"/>
      <c r="I202" s="77">
        <v>152.15</v>
      </c>
      <c r="K202" s="1"/>
    </row>
    <row r="203" spans="1:11" ht="14.25">
      <c r="A203"/>
      <c r="B203" s="57" t="s">
        <v>135</v>
      </c>
      <c r="C203" s="57">
        <v>600.01</v>
      </c>
      <c r="D203" s="57" t="s">
        <v>55</v>
      </c>
      <c r="E203" s="6"/>
      <c r="F203" s="17">
        <v>700</v>
      </c>
      <c r="G203" s="6"/>
      <c r="H203" s="15"/>
      <c r="I203" s="77">
        <v>177.53</v>
      </c>
      <c r="K203" s="1"/>
    </row>
    <row r="204" spans="1:11" ht="14.25">
      <c r="A204"/>
      <c r="B204" s="57" t="s">
        <v>136</v>
      </c>
      <c r="C204" s="57">
        <v>700.01</v>
      </c>
      <c r="D204" s="57" t="s">
        <v>55</v>
      </c>
      <c r="E204" s="6"/>
      <c r="F204" s="17">
        <v>800</v>
      </c>
      <c r="G204" s="6"/>
      <c r="H204" s="15"/>
      <c r="I204" s="77">
        <v>202.81</v>
      </c>
      <c r="K204" s="1"/>
    </row>
    <row r="205" spans="1:11" ht="14.25">
      <c r="A205"/>
      <c r="B205" s="57" t="s">
        <v>137</v>
      </c>
      <c r="C205" s="57">
        <v>800.01</v>
      </c>
      <c r="D205" s="57" t="s">
        <v>55</v>
      </c>
      <c r="E205" s="6"/>
      <c r="F205" s="17">
        <v>900</v>
      </c>
      <c r="G205" s="6"/>
      <c r="H205" s="15"/>
      <c r="I205" s="77">
        <v>228.19</v>
      </c>
      <c r="K205" s="1"/>
    </row>
    <row r="206" spans="1:11" ht="14.25">
      <c r="A206"/>
      <c r="B206" s="57" t="s">
        <v>138</v>
      </c>
      <c r="C206" s="57">
        <v>900.01</v>
      </c>
      <c r="D206" s="57" t="s">
        <v>55</v>
      </c>
      <c r="E206" s="6"/>
      <c r="F206" s="17">
        <v>1000</v>
      </c>
      <c r="G206" s="6"/>
      <c r="H206" s="15"/>
      <c r="I206" s="77">
        <v>253.57</v>
      </c>
      <c r="K206" s="1"/>
    </row>
    <row r="207" spans="1:11" ht="14.25">
      <c r="A207"/>
      <c r="B207" s="57" t="s">
        <v>139</v>
      </c>
      <c r="C207" s="57">
        <v>1000.01</v>
      </c>
      <c r="D207" s="57" t="s">
        <v>55</v>
      </c>
      <c r="E207" s="6"/>
      <c r="F207" s="17">
        <v>1500</v>
      </c>
      <c r="G207" s="6"/>
      <c r="H207" s="15"/>
      <c r="I207" s="77">
        <v>285.18</v>
      </c>
      <c r="K207" s="1"/>
    </row>
    <row r="208" spans="1:11" ht="14.25">
      <c r="A208"/>
      <c r="B208" s="57" t="s">
        <v>140</v>
      </c>
      <c r="C208" s="57">
        <v>1500.01</v>
      </c>
      <c r="D208" s="57" t="s">
        <v>55</v>
      </c>
      <c r="E208" s="6"/>
      <c r="F208" s="17">
        <v>2000</v>
      </c>
      <c r="G208" s="6"/>
      <c r="H208" s="15"/>
      <c r="I208" s="77">
        <v>316.8</v>
      </c>
      <c r="K208" s="1"/>
    </row>
    <row r="209" spans="1:11" ht="14.25">
      <c r="A209"/>
      <c r="B209" s="57" t="s">
        <v>141</v>
      </c>
      <c r="C209" s="57">
        <v>2000.01</v>
      </c>
      <c r="D209" s="57" t="s">
        <v>55</v>
      </c>
      <c r="E209" s="6"/>
      <c r="F209" s="17">
        <v>2500</v>
      </c>
      <c r="G209" s="6"/>
      <c r="H209" s="15"/>
      <c r="I209" s="77">
        <v>348.4</v>
      </c>
      <c r="K209" s="1"/>
    </row>
    <row r="210" spans="1:11" ht="14.25">
      <c r="A210"/>
      <c r="B210" s="57" t="s">
        <v>142</v>
      </c>
      <c r="C210" s="57">
        <v>2500.0100000000002</v>
      </c>
      <c r="D210" s="57" t="s">
        <v>55</v>
      </c>
      <c r="E210" s="6"/>
      <c r="F210" s="17">
        <v>3000</v>
      </c>
      <c r="G210" s="6"/>
      <c r="H210" s="15"/>
      <c r="I210" s="77">
        <v>380.02</v>
      </c>
      <c r="K210" s="1"/>
    </row>
    <row r="211" spans="1:11" ht="14.25">
      <c r="A211"/>
      <c r="B211" s="57" t="s">
        <v>143</v>
      </c>
      <c r="C211" s="57">
        <v>3000.01</v>
      </c>
      <c r="D211" s="57" t="s">
        <v>55</v>
      </c>
      <c r="E211" s="6"/>
      <c r="F211" s="17">
        <v>3500</v>
      </c>
      <c r="G211" s="6"/>
      <c r="H211" s="15"/>
      <c r="I211" s="77">
        <v>411.64</v>
      </c>
      <c r="K211" s="1"/>
    </row>
    <row r="212" spans="1:11" ht="14.25">
      <c r="A212"/>
      <c r="B212" s="57" t="s">
        <v>144</v>
      </c>
      <c r="C212" s="57">
        <v>3500.01</v>
      </c>
      <c r="D212" s="57" t="s">
        <v>55</v>
      </c>
      <c r="E212" s="6"/>
      <c r="F212" s="17">
        <v>4000</v>
      </c>
      <c r="G212" s="6"/>
      <c r="H212" s="15"/>
      <c r="I212" s="77">
        <v>443.26</v>
      </c>
      <c r="K212" s="1"/>
    </row>
    <row r="213" spans="1:11" ht="14.25">
      <c r="A213"/>
      <c r="B213" s="57" t="s">
        <v>145</v>
      </c>
      <c r="C213" s="57">
        <v>4000.01</v>
      </c>
      <c r="D213" s="57" t="s">
        <v>55</v>
      </c>
      <c r="E213" s="6"/>
      <c r="F213" s="17">
        <v>4500</v>
      </c>
      <c r="G213" s="6"/>
      <c r="H213" s="15"/>
      <c r="I213" s="77">
        <v>474.86</v>
      </c>
      <c r="K213" s="1"/>
    </row>
    <row r="214" spans="1:11" ht="14.25">
      <c r="A214"/>
      <c r="B214" s="57" t="s">
        <v>146</v>
      </c>
      <c r="C214" s="57">
        <v>4500.01</v>
      </c>
      <c r="D214" s="57" t="s">
        <v>55</v>
      </c>
      <c r="E214" s="6"/>
      <c r="F214" s="17">
        <v>5000</v>
      </c>
      <c r="G214" s="6"/>
      <c r="H214" s="15"/>
      <c r="I214" s="77">
        <v>506.46</v>
      </c>
      <c r="K214" s="1"/>
    </row>
    <row r="215" spans="1:11" ht="14.25">
      <c r="A215"/>
      <c r="B215" s="57" t="s">
        <v>147</v>
      </c>
      <c r="C215" s="57">
        <v>5000.01</v>
      </c>
      <c r="D215" s="57" t="s">
        <v>55</v>
      </c>
      <c r="E215" s="6"/>
      <c r="F215" s="17">
        <v>7500</v>
      </c>
      <c r="G215" s="6"/>
      <c r="H215" s="15"/>
      <c r="I215" s="77">
        <v>538.05999999999995</v>
      </c>
      <c r="K215" s="1"/>
    </row>
    <row r="216" spans="1:11" ht="14.25">
      <c r="A216"/>
      <c r="B216" s="57" t="s">
        <v>148</v>
      </c>
      <c r="C216" s="57">
        <v>7500.01</v>
      </c>
      <c r="D216" s="57" t="s">
        <v>55</v>
      </c>
      <c r="E216" s="6"/>
      <c r="F216" s="17">
        <v>10000</v>
      </c>
      <c r="G216" s="6"/>
      <c r="H216" s="15"/>
      <c r="I216" s="77">
        <v>569.66999999999996</v>
      </c>
      <c r="K216" s="1"/>
    </row>
    <row r="217" spans="1:11" ht="28.5">
      <c r="A217"/>
      <c r="B217" s="57" t="s">
        <v>149</v>
      </c>
      <c r="C217" s="57" t="s">
        <v>150</v>
      </c>
      <c r="D217" s="57"/>
      <c r="E217" s="6"/>
      <c r="F217" s="17"/>
      <c r="G217" s="6"/>
      <c r="H217" s="15"/>
      <c r="I217" s="77">
        <v>601.29</v>
      </c>
      <c r="K217" s="1"/>
    </row>
    <row r="218" spans="1:11" ht="14.25">
      <c r="A218"/>
      <c r="B218" s="522" t="s">
        <v>151</v>
      </c>
      <c r="C218" s="522"/>
      <c r="D218" s="522"/>
      <c r="E218" s="522"/>
      <c r="F218" s="522"/>
      <c r="G218" s="522"/>
      <c r="H218" s="523"/>
      <c r="I218" s="77">
        <v>47.27</v>
      </c>
      <c r="K218" s="1"/>
    </row>
    <row r="219" spans="1:11" ht="15" customHeight="1">
      <c r="A219"/>
      <c r="B219" s="522" t="s">
        <v>152</v>
      </c>
      <c r="C219" s="522"/>
      <c r="D219" s="522"/>
      <c r="E219" s="522"/>
      <c r="F219" s="522"/>
      <c r="G219" s="522"/>
      <c r="H219" s="523"/>
      <c r="I219" s="77"/>
      <c r="K219" s="1"/>
    </row>
    <row r="220" spans="1:11" ht="15" customHeight="1">
      <c r="A220"/>
      <c r="B220" s="522" t="s">
        <v>342</v>
      </c>
      <c r="C220" s="522"/>
      <c r="D220" s="522"/>
      <c r="E220" s="522"/>
      <c r="F220" s="522"/>
      <c r="G220" s="522"/>
      <c r="H220" s="523"/>
      <c r="I220" s="77">
        <v>20.85</v>
      </c>
      <c r="K220" s="1"/>
    </row>
    <row r="221" spans="1:11" ht="15" customHeight="1">
      <c r="A221"/>
      <c r="B221" s="522" t="s">
        <v>153</v>
      </c>
      <c r="C221" s="522"/>
      <c r="D221" s="522"/>
      <c r="E221" s="522"/>
      <c r="F221" s="522"/>
      <c r="G221" s="522"/>
      <c r="H221" s="523"/>
      <c r="I221" s="77">
        <v>11.37</v>
      </c>
      <c r="K221" s="1"/>
    </row>
    <row r="222" spans="1:11" ht="15" customHeight="1" thickBot="1">
      <c r="A222"/>
      <c r="B222" s="522"/>
      <c r="C222" s="522"/>
      <c r="D222" s="522"/>
      <c r="E222" s="522"/>
      <c r="F222" s="522"/>
      <c r="G222" s="522"/>
      <c r="H222" s="523"/>
      <c r="I222" s="27"/>
      <c r="K222" s="1"/>
    </row>
    <row r="223" spans="1:11" ht="14.25" customHeight="1">
      <c r="A223"/>
      <c r="B223" s="512" t="s">
        <v>427</v>
      </c>
      <c r="C223" s="513"/>
      <c r="D223" s="513"/>
      <c r="E223" s="513"/>
      <c r="F223" s="513"/>
      <c r="G223" s="513"/>
      <c r="H223" s="513"/>
      <c r="I223" s="514"/>
      <c r="K223" s="1"/>
    </row>
    <row r="224" spans="1:11" ht="14.25" customHeight="1" thickBot="1">
      <c r="A224"/>
      <c r="B224" s="509" t="s">
        <v>10</v>
      </c>
      <c r="C224" s="510"/>
      <c r="D224" s="510"/>
      <c r="E224" s="510"/>
      <c r="F224" s="510"/>
      <c r="G224" s="510"/>
      <c r="H224" s="510"/>
      <c r="I224" s="511"/>
      <c r="K224" s="1"/>
    </row>
    <row r="225" spans="1:18" ht="14.25">
      <c r="A225"/>
      <c r="B225" s="498" t="s">
        <v>6</v>
      </c>
      <c r="C225" s="498"/>
      <c r="D225" s="498"/>
      <c r="E225" s="498"/>
      <c r="F225" s="498"/>
      <c r="G225" s="498"/>
      <c r="H225" s="499"/>
      <c r="I225" s="23" t="s">
        <v>13</v>
      </c>
      <c r="K225" s="1"/>
    </row>
    <row r="226" spans="1:18" ht="33" customHeight="1">
      <c r="A226"/>
      <c r="B226" s="524" t="s">
        <v>372</v>
      </c>
      <c r="C226" s="524"/>
      <c r="D226" s="524"/>
      <c r="E226" s="524"/>
      <c r="F226" s="524"/>
      <c r="G226" s="524"/>
      <c r="H226" s="525"/>
      <c r="I226" s="342"/>
      <c r="J226" s="58"/>
      <c r="K226" s="1"/>
    </row>
    <row r="227" spans="1:18" ht="15" customHeight="1">
      <c r="A227"/>
      <c r="B227" s="522" t="s">
        <v>373</v>
      </c>
      <c r="C227" s="522"/>
      <c r="D227" s="522"/>
      <c r="E227" s="522"/>
      <c r="F227" s="522"/>
      <c r="G227" s="522"/>
      <c r="H227" s="523"/>
      <c r="I227" s="342">
        <v>79.59</v>
      </c>
      <c r="K227" s="1"/>
    </row>
    <row r="228" spans="1:18" ht="15" customHeight="1">
      <c r="A228"/>
      <c r="B228" s="521"/>
      <c r="C228" s="521"/>
      <c r="D228" s="521"/>
      <c r="E228" s="521"/>
      <c r="F228" s="6"/>
      <c r="G228" s="6"/>
      <c r="H228" s="15"/>
      <c r="I228" s="342"/>
      <c r="K228" s="1"/>
    </row>
    <row r="229" spans="1:18" ht="15" customHeight="1">
      <c r="A229"/>
      <c r="B229" s="332" t="s">
        <v>383</v>
      </c>
      <c r="C229" s="526" t="s">
        <v>375</v>
      </c>
      <c r="D229" s="526"/>
      <c r="E229" s="526"/>
      <c r="F229" s="526"/>
      <c r="G229" s="6"/>
      <c r="H229" s="15"/>
      <c r="I229" s="342"/>
      <c r="K229" s="1"/>
    </row>
    <row r="230" spans="1:18" ht="15" customHeight="1">
      <c r="A230"/>
      <c r="B230" s="332"/>
      <c r="C230" s="344" t="s">
        <v>376</v>
      </c>
      <c r="D230" s="57"/>
      <c r="E230" s="332"/>
      <c r="F230" s="343"/>
      <c r="G230" s="6"/>
      <c r="H230" s="15"/>
      <c r="I230" s="342">
        <v>49.36</v>
      </c>
      <c r="K230" s="1"/>
    </row>
    <row r="231" spans="1:18" ht="15" customHeight="1">
      <c r="A231"/>
      <c r="B231" s="332"/>
      <c r="C231" s="344" t="s">
        <v>377</v>
      </c>
      <c r="D231" s="57"/>
      <c r="E231" s="332"/>
      <c r="F231" s="343"/>
      <c r="G231" s="6"/>
      <c r="H231" s="15"/>
      <c r="I231" s="342">
        <v>230.54</v>
      </c>
      <c r="K231" s="1"/>
    </row>
    <row r="232" spans="1:18" ht="15" customHeight="1">
      <c r="A232"/>
      <c r="B232" s="332"/>
      <c r="C232" s="344"/>
      <c r="D232" s="57"/>
      <c r="E232" s="332"/>
      <c r="F232" s="343"/>
      <c r="G232" s="6"/>
      <c r="H232" s="15"/>
      <c r="I232" s="342"/>
      <c r="K232" s="1"/>
    </row>
    <row r="233" spans="1:18" ht="15" customHeight="1">
      <c r="A233"/>
      <c r="B233" s="521" t="s">
        <v>378</v>
      </c>
      <c r="C233" s="521"/>
      <c r="D233" s="521"/>
      <c r="E233" s="521"/>
      <c r="F233" s="521"/>
      <c r="G233" s="521"/>
      <c r="H233" s="15"/>
      <c r="I233" s="342"/>
      <c r="K233" s="1"/>
    </row>
    <row r="234" spans="1:18" ht="15" customHeight="1">
      <c r="A234"/>
      <c r="B234" s="332"/>
      <c r="C234" s="344"/>
      <c r="D234" s="57"/>
      <c r="E234" s="332"/>
      <c r="F234" s="343"/>
      <c r="G234" s="6"/>
      <c r="H234" s="15"/>
      <c r="I234" s="342"/>
      <c r="K234" s="1"/>
    </row>
    <row r="235" spans="1:18" ht="15" customHeight="1">
      <c r="A235"/>
      <c r="B235" s="332" t="s">
        <v>374</v>
      </c>
      <c r="C235" s="344">
        <v>70000.009999999995</v>
      </c>
      <c r="D235" s="57" t="s">
        <v>55</v>
      </c>
      <c r="E235" s="332"/>
      <c r="F235" s="343">
        <v>80000</v>
      </c>
      <c r="G235" s="6"/>
      <c r="H235" s="15"/>
      <c r="I235" s="342">
        <v>398.64</v>
      </c>
      <c r="K235" s="1"/>
    </row>
    <row r="236" spans="1:18" ht="15" customHeight="1">
      <c r="A236"/>
      <c r="B236" s="332" t="s">
        <v>379</v>
      </c>
      <c r="C236" s="344">
        <f>F235+0.01</f>
        <v>80000.009999999995</v>
      </c>
      <c r="D236" s="57" t="s">
        <v>55</v>
      </c>
      <c r="E236" s="332"/>
      <c r="F236" s="343">
        <v>90000</v>
      </c>
      <c r="G236" s="6"/>
      <c r="H236" s="15"/>
      <c r="I236" s="342">
        <v>432.93</v>
      </c>
      <c r="K236" s="1"/>
    </row>
    <row r="237" spans="1:18" ht="15" customHeight="1">
      <c r="A237"/>
      <c r="B237" s="332" t="s">
        <v>380</v>
      </c>
      <c r="C237" s="344">
        <f>F236+0.01</f>
        <v>90000.01</v>
      </c>
      <c r="D237" s="57" t="s">
        <v>55</v>
      </c>
      <c r="E237" s="332"/>
      <c r="F237" s="343">
        <v>100000</v>
      </c>
      <c r="G237" s="6"/>
      <c r="H237" s="15"/>
      <c r="I237" s="342">
        <v>467.17</v>
      </c>
      <c r="K237" s="1"/>
    </row>
    <row r="238" spans="1:18" ht="15" customHeight="1">
      <c r="A238"/>
      <c r="B238" s="332" t="s">
        <v>270</v>
      </c>
      <c r="C238" s="344">
        <f>F237+0.01</f>
        <v>100000.01</v>
      </c>
      <c r="D238" s="57" t="s">
        <v>55</v>
      </c>
      <c r="E238" s="332"/>
      <c r="F238" s="343">
        <v>150000</v>
      </c>
      <c r="G238" s="6"/>
      <c r="H238" s="15"/>
      <c r="I238" s="342">
        <v>535.75</v>
      </c>
      <c r="K238" s="1"/>
    </row>
    <row r="239" spans="1:18" ht="15" customHeight="1">
      <c r="A239"/>
      <c r="B239" s="332" t="s">
        <v>381</v>
      </c>
      <c r="C239" s="344">
        <f>F238+0.01</f>
        <v>150000.01</v>
      </c>
      <c r="D239" s="57" t="s">
        <v>55</v>
      </c>
      <c r="E239" s="332"/>
      <c r="F239" s="343">
        <v>200000</v>
      </c>
      <c r="G239" s="6"/>
      <c r="H239" s="15"/>
      <c r="I239" s="342">
        <v>581.44000000000005</v>
      </c>
      <c r="K239" s="1"/>
    </row>
    <row r="240" spans="1:18" ht="15" customHeight="1">
      <c r="A240"/>
      <c r="B240" s="64" t="s">
        <v>508</v>
      </c>
      <c r="C240" s="423"/>
      <c r="D240" s="423"/>
      <c r="E240" s="423"/>
      <c r="F240" s="423"/>
      <c r="G240" s="423"/>
      <c r="H240" s="486"/>
      <c r="I240" s="422">
        <v>91.39</v>
      </c>
      <c r="J240" s="543"/>
      <c r="K240" s="544"/>
      <c r="L240" s="415"/>
      <c r="M240" s="415"/>
      <c r="N240" s="415"/>
      <c r="O240" s="415"/>
      <c r="P240" s="415"/>
      <c r="Q240" s="415"/>
      <c r="R240" s="410"/>
    </row>
    <row r="241" spans="1:11" ht="15" customHeight="1">
      <c r="A241"/>
      <c r="B241" s="6" t="s">
        <v>471</v>
      </c>
      <c r="C241" s="516" t="s">
        <v>472</v>
      </c>
      <c r="D241" s="516"/>
      <c r="E241" s="516"/>
      <c r="F241" s="516"/>
      <c r="G241" s="516"/>
      <c r="H241" s="517"/>
      <c r="I241" s="342">
        <v>2.84</v>
      </c>
      <c r="K241" s="1"/>
    </row>
    <row r="242" spans="1:11" ht="15" customHeight="1">
      <c r="A242"/>
      <c r="B242" s="6" t="s">
        <v>473</v>
      </c>
      <c r="C242" s="516" t="s">
        <v>388</v>
      </c>
      <c r="D242" s="516"/>
      <c r="E242" s="516"/>
      <c r="F242" s="516"/>
      <c r="G242" s="6"/>
      <c r="H242" s="408"/>
      <c r="I242" s="342">
        <v>13.02</v>
      </c>
      <c r="K242" s="1"/>
    </row>
    <row r="243" spans="1:11" ht="15" customHeight="1">
      <c r="A243"/>
      <c r="B243" s="6"/>
      <c r="C243" s="344"/>
      <c r="D243" s="344"/>
      <c r="E243" s="344"/>
      <c r="F243" s="344"/>
      <c r="G243" s="6"/>
      <c r="H243" s="15"/>
      <c r="I243" s="342"/>
      <c r="K243" s="1"/>
    </row>
    <row r="244" spans="1:11" ht="15" customHeight="1">
      <c r="A244"/>
      <c r="B244" s="6" t="s">
        <v>385</v>
      </c>
      <c r="C244" s="516" t="s">
        <v>382</v>
      </c>
      <c r="D244" s="516"/>
      <c r="E244" s="516"/>
      <c r="F244" s="516"/>
      <c r="G244" s="516"/>
      <c r="H244" s="517"/>
      <c r="I244" s="342">
        <v>128.88</v>
      </c>
      <c r="K244" s="1"/>
    </row>
    <row r="245" spans="1:11" ht="13.5" customHeight="1">
      <c r="A245"/>
      <c r="B245" s="333"/>
      <c r="C245" s="344"/>
      <c r="D245" s="74"/>
      <c r="E245" s="333"/>
      <c r="F245" s="345"/>
      <c r="G245" s="333"/>
      <c r="H245" s="333"/>
      <c r="I245" s="342"/>
      <c r="K245" s="1"/>
    </row>
    <row r="246" spans="1:11" ht="14.25" customHeight="1">
      <c r="A246"/>
      <c r="B246" s="78" t="s">
        <v>386</v>
      </c>
      <c r="C246" s="78"/>
      <c r="D246" s="78"/>
      <c r="E246" s="78"/>
      <c r="F246" s="78"/>
      <c r="G246" s="78"/>
      <c r="H246" s="78"/>
      <c r="I246" s="342">
        <v>2.84</v>
      </c>
      <c r="K246" s="1"/>
    </row>
    <row r="247" spans="1:11" ht="14.25" customHeight="1">
      <c r="A247"/>
      <c r="B247" s="78" t="s">
        <v>417</v>
      </c>
      <c r="C247" s="78"/>
      <c r="D247" s="78"/>
      <c r="E247" s="78"/>
      <c r="F247" s="78"/>
      <c r="G247" s="78"/>
      <c r="H247" s="78"/>
      <c r="I247" s="342">
        <v>13.02</v>
      </c>
      <c r="K247" s="1"/>
    </row>
    <row r="248" spans="1:11" ht="14.25" customHeight="1">
      <c r="A248"/>
      <c r="B248" s="518"/>
      <c r="C248" s="515"/>
      <c r="D248" s="515"/>
      <c r="E248" s="515"/>
      <c r="F248" s="515"/>
      <c r="G248" s="515"/>
      <c r="H248" s="515"/>
      <c r="I248" s="342"/>
      <c r="K248" s="1"/>
    </row>
    <row r="249" spans="1:11" ht="14.25" customHeight="1">
      <c r="A249"/>
      <c r="B249" s="515" t="s">
        <v>156</v>
      </c>
      <c r="C249" s="515"/>
      <c r="D249" s="515"/>
      <c r="E249" s="515"/>
      <c r="F249" s="515"/>
      <c r="G249" s="515"/>
      <c r="H249" s="515"/>
      <c r="I249" s="77">
        <v>19.54</v>
      </c>
      <c r="K249" s="1"/>
    </row>
    <row r="250" spans="1:11" ht="58.5" customHeight="1">
      <c r="A250"/>
      <c r="B250" s="504" t="s">
        <v>265</v>
      </c>
      <c r="C250" s="504"/>
      <c r="D250" s="504"/>
      <c r="E250" s="504"/>
      <c r="F250" s="504"/>
      <c r="G250" s="504"/>
      <c r="H250" s="519"/>
      <c r="I250" s="77">
        <v>48.51</v>
      </c>
      <c r="K250" s="1"/>
    </row>
    <row r="251" spans="1:11" ht="37.5" customHeight="1">
      <c r="A251"/>
      <c r="B251" s="504" t="s">
        <v>157</v>
      </c>
      <c r="C251" s="504"/>
      <c r="D251" s="504"/>
      <c r="E251" s="504"/>
      <c r="F251" s="504"/>
      <c r="G251" s="504"/>
      <c r="H251" s="519"/>
      <c r="I251" s="77">
        <v>324.72000000000003</v>
      </c>
      <c r="K251" s="1"/>
    </row>
    <row r="252" spans="1:11" ht="30.75" customHeight="1">
      <c r="A252"/>
      <c r="B252" s="504" t="s">
        <v>236</v>
      </c>
      <c r="C252" s="504"/>
      <c r="D252" s="504"/>
      <c r="E252" s="504"/>
      <c r="F252" s="504"/>
      <c r="G252" s="504"/>
      <c r="H252" s="519"/>
      <c r="I252" s="77">
        <v>0.11</v>
      </c>
      <c r="K252" s="1"/>
    </row>
    <row r="253" spans="1:11" ht="14.25" customHeight="1">
      <c r="A253"/>
      <c r="B253" s="518" t="s">
        <v>158</v>
      </c>
      <c r="C253" s="515"/>
      <c r="D253" s="515"/>
      <c r="E253" s="515"/>
      <c r="F253" s="515"/>
      <c r="G253" s="515"/>
      <c r="H253" s="515"/>
      <c r="I253" s="77">
        <v>0.02</v>
      </c>
      <c r="K253" s="1"/>
    </row>
    <row r="254" spans="1:11" ht="14.25" customHeight="1">
      <c r="A254"/>
      <c r="B254" s="515" t="s">
        <v>159</v>
      </c>
      <c r="C254" s="515"/>
      <c r="D254" s="515"/>
      <c r="E254" s="515"/>
      <c r="F254" s="515"/>
      <c r="G254" s="515"/>
      <c r="H254" s="515"/>
      <c r="I254" s="77"/>
      <c r="K254" s="1"/>
    </row>
    <row r="255" spans="1:11" ht="14.25" customHeight="1">
      <c r="A255"/>
      <c r="B255" s="518" t="s">
        <v>160</v>
      </c>
      <c r="C255" s="515"/>
      <c r="D255" s="515"/>
      <c r="E255" s="515"/>
      <c r="F255" s="515"/>
      <c r="G255" s="515"/>
      <c r="H255" s="515"/>
      <c r="I255" s="77">
        <v>0.28000000000000003</v>
      </c>
      <c r="K255" s="1"/>
    </row>
    <row r="256" spans="1:11" ht="14.25" customHeight="1">
      <c r="A256"/>
      <c r="B256" s="518" t="s">
        <v>154</v>
      </c>
      <c r="C256" s="515"/>
      <c r="D256" s="515"/>
      <c r="E256" s="515"/>
      <c r="F256" s="515"/>
      <c r="G256" s="515"/>
      <c r="H256" s="515"/>
      <c r="I256" s="77">
        <v>0.04</v>
      </c>
      <c r="K256" s="1"/>
    </row>
    <row r="257" spans="1:11" ht="14.25" customHeight="1">
      <c r="A257"/>
      <c r="B257" s="515" t="s">
        <v>161</v>
      </c>
      <c r="C257" s="515"/>
      <c r="D257" s="515"/>
      <c r="E257" s="515"/>
      <c r="F257" s="515"/>
      <c r="G257" s="515"/>
      <c r="H257" s="515"/>
      <c r="I257" s="77"/>
      <c r="K257" s="1"/>
    </row>
    <row r="258" spans="1:11" ht="14.25" customHeight="1">
      <c r="A258"/>
      <c r="B258" s="515" t="s">
        <v>250</v>
      </c>
      <c r="C258" s="515"/>
      <c r="D258" s="515"/>
      <c r="E258" s="515"/>
      <c r="F258" s="515"/>
      <c r="G258" s="515"/>
      <c r="H258" s="515"/>
      <c r="I258" s="77">
        <v>324.72000000000003</v>
      </c>
      <c r="K258" s="1"/>
    </row>
    <row r="259" spans="1:11" ht="14.25" customHeight="1">
      <c r="A259"/>
      <c r="B259" s="515" t="s">
        <v>249</v>
      </c>
      <c r="C259" s="515"/>
      <c r="D259" s="515"/>
      <c r="E259" s="515"/>
      <c r="F259" s="515"/>
      <c r="G259" s="515"/>
      <c r="H259" s="515"/>
      <c r="I259" s="77">
        <v>536.88</v>
      </c>
      <c r="K259" s="1"/>
    </row>
    <row r="260" spans="1:11" ht="14.25" customHeight="1">
      <c r="A260"/>
      <c r="B260" s="515" t="s">
        <v>162</v>
      </c>
      <c r="C260" s="515"/>
      <c r="D260" s="515"/>
      <c r="E260" s="515"/>
      <c r="F260" s="515"/>
      <c r="G260" s="515"/>
      <c r="H260" s="515"/>
      <c r="I260" s="77">
        <v>1044.44</v>
      </c>
      <c r="K260" s="1"/>
    </row>
    <row r="261" spans="1:11" ht="14.25" customHeight="1">
      <c r="A261"/>
      <c r="B261" s="518" t="s">
        <v>266</v>
      </c>
      <c r="C261" s="515"/>
      <c r="D261" s="515"/>
      <c r="E261" s="515"/>
      <c r="F261" s="515"/>
      <c r="G261" s="515"/>
      <c r="H261" s="515"/>
      <c r="I261" s="77">
        <v>0.28000000000000003</v>
      </c>
      <c r="K261" s="1"/>
    </row>
    <row r="262" spans="1:11" ht="14.25" customHeight="1">
      <c r="A262"/>
      <c r="B262" s="515" t="s">
        <v>163</v>
      </c>
      <c r="C262" s="515"/>
      <c r="D262" s="515"/>
      <c r="E262" s="515"/>
      <c r="F262" s="515"/>
      <c r="G262" s="515"/>
      <c r="H262" s="515"/>
      <c r="I262" s="77"/>
      <c r="K262" s="1"/>
    </row>
    <row r="263" spans="1:11" ht="28.5" customHeight="1">
      <c r="A263"/>
      <c r="B263" s="504" t="s">
        <v>267</v>
      </c>
      <c r="C263" s="504"/>
      <c r="D263" s="504"/>
      <c r="E263" s="504"/>
      <c r="F263" s="504"/>
      <c r="G263" s="504"/>
      <c r="H263" s="504"/>
      <c r="I263" s="77">
        <v>148.47999999999999</v>
      </c>
      <c r="K263" s="1"/>
    </row>
    <row r="264" spans="1:11" ht="14.25">
      <c r="A264"/>
      <c r="B264" s="504" t="s">
        <v>165</v>
      </c>
      <c r="C264" s="504"/>
      <c r="D264" s="504"/>
      <c r="E264" s="504"/>
      <c r="F264" s="504"/>
      <c r="G264" s="504"/>
      <c r="H264" s="504"/>
      <c r="I264" s="77">
        <v>2.84</v>
      </c>
      <c r="K264" s="1"/>
    </row>
    <row r="265" spans="1:11" ht="14.25">
      <c r="A265"/>
      <c r="B265" s="504" t="s">
        <v>272</v>
      </c>
      <c r="C265" s="504"/>
      <c r="D265" s="504"/>
      <c r="E265" s="504"/>
      <c r="F265" s="504"/>
      <c r="G265" s="504"/>
      <c r="H265" s="504"/>
      <c r="I265" s="77">
        <v>19.54</v>
      </c>
      <c r="K265" s="1"/>
    </row>
    <row r="266" spans="1:11" ht="49.5" customHeight="1">
      <c r="A266"/>
      <c r="B266" s="504" t="s">
        <v>164</v>
      </c>
      <c r="C266" s="504"/>
      <c r="D266" s="504"/>
      <c r="E266" s="504"/>
      <c r="F266" s="504"/>
      <c r="G266" s="504"/>
      <c r="H266" s="504"/>
      <c r="I266" s="77">
        <v>21.17</v>
      </c>
      <c r="K266" s="1"/>
    </row>
    <row r="267" spans="1:11" ht="14.25" customHeight="1">
      <c r="A267"/>
      <c r="B267" s="515" t="s">
        <v>166</v>
      </c>
      <c r="C267" s="515"/>
      <c r="D267" s="515"/>
      <c r="E267" s="515"/>
      <c r="F267" s="515"/>
      <c r="G267" s="515"/>
      <c r="H267" s="515"/>
      <c r="I267" s="77">
        <v>2.64</v>
      </c>
      <c r="K267" s="1"/>
    </row>
    <row r="268" spans="1:11" ht="14.25" customHeight="1">
      <c r="A268"/>
      <c r="B268" s="504" t="s">
        <v>167</v>
      </c>
      <c r="C268" s="504"/>
      <c r="D268" s="504"/>
      <c r="E268" s="504"/>
      <c r="F268" s="504"/>
      <c r="G268" s="504"/>
      <c r="H268" s="504"/>
      <c r="I268" s="77">
        <v>19.54</v>
      </c>
      <c r="K268" s="1"/>
    </row>
    <row r="269" spans="1:11" ht="30.75" customHeight="1">
      <c r="A269"/>
      <c r="B269" s="504" t="s">
        <v>268</v>
      </c>
      <c r="C269" s="504"/>
      <c r="D269" s="504"/>
      <c r="E269" s="504"/>
      <c r="F269" s="504"/>
      <c r="G269" s="504"/>
      <c r="H269" s="519"/>
      <c r="I269" s="77">
        <v>17.079999999999998</v>
      </c>
      <c r="K269" s="1"/>
    </row>
    <row r="270" spans="1:11" ht="14.25" customHeight="1">
      <c r="A270"/>
      <c r="B270" s="515" t="s">
        <v>168</v>
      </c>
      <c r="C270" s="515"/>
      <c r="D270" s="515"/>
      <c r="E270" s="515"/>
      <c r="F270" s="515"/>
      <c r="G270" s="515"/>
      <c r="H270" s="515"/>
      <c r="I270" s="77">
        <v>8.1</v>
      </c>
      <c r="K270" s="1"/>
    </row>
    <row r="271" spans="1:11" ht="14.25" customHeight="1">
      <c r="A271"/>
      <c r="B271" s="515" t="s">
        <v>169</v>
      </c>
      <c r="C271" s="515"/>
      <c r="D271" s="515"/>
      <c r="E271" s="515"/>
      <c r="F271" s="515"/>
      <c r="G271" s="515"/>
      <c r="H271" s="515"/>
      <c r="I271" s="77">
        <v>0.11</v>
      </c>
      <c r="K271" s="1"/>
    </row>
    <row r="272" spans="1:11" ht="33" customHeight="1">
      <c r="A272"/>
      <c r="B272" s="504" t="s">
        <v>170</v>
      </c>
      <c r="C272" s="504"/>
      <c r="D272" s="504"/>
      <c r="E272" s="504"/>
      <c r="F272" s="504"/>
      <c r="G272" s="504"/>
      <c r="H272" s="504"/>
      <c r="I272" s="77">
        <v>18.34</v>
      </c>
      <c r="K272" s="1"/>
    </row>
    <row r="273" spans="1:11" ht="14.25" customHeight="1">
      <c r="A273"/>
      <c r="B273" s="515" t="s">
        <v>269</v>
      </c>
      <c r="C273" s="515"/>
      <c r="D273" s="515"/>
      <c r="E273" s="515"/>
      <c r="F273" s="515"/>
      <c r="G273" s="515"/>
      <c r="H273" s="515"/>
      <c r="I273" s="77">
        <v>11.37</v>
      </c>
      <c r="K273" s="1"/>
    </row>
    <row r="274" spans="1:11" ht="14.25" customHeight="1">
      <c r="A274"/>
      <c r="B274" s="515" t="s">
        <v>171</v>
      </c>
      <c r="C274" s="515"/>
      <c r="D274" s="515"/>
      <c r="E274" s="515"/>
      <c r="F274" s="515"/>
      <c r="G274" s="515"/>
      <c r="H274" s="515"/>
      <c r="I274" s="77">
        <v>1.56</v>
      </c>
      <c r="K274" s="1"/>
    </row>
    <row r="275" spans="1:11" ht="14.25" customHeight="1">
      <c r="A275"/>
      <c r="B275" s="515" t="s">
        <v>172</v>
      </c>
      <c r="C275" s="515"/>
      <c r="D275" s="515"/>
      <c r="E275" s="515"/>
      <c r="F275" s="515"/>
      <c r="G275" s="515"/>
      <c r="H275" s="515"/>
      <c r="I275" s="77">
        <v>32.590000000000003</v>
      </c>
      <c r="K275" s="1"/>
    </row>
    <row r="276" spans="1:11" ht="14.25" customHeight="1">
      <c r="A276"/>
      <c r="B276" s="515" t="s">
        <v>173</v>
      </c>
      <c r="C276" s="515"/>
      <c r="D276" s="515"/>
      <c r="E276" s="515"/>
      <c r="F276" s="515"/>
      <c r="G276" s="515"/>
      <c r="H276" s="515"/>
      <c r="I276" s="77">
        <v>11.37</v>
      </c>
      <c r="K276" s="1"/>
    </row>
    <row r="277" spans="1:11" ht="14.25" customHeight="1">
      <c r="A277"/>
      <c r="B277" s="515" t="s">
        <v>174</v>
      </c>
      <c r="C277" s="515"/>
      <c r="D277" s="515"/>
      <c r="E277" s="515"/>
      <c r="F277" s="515"/>
      <c r="G277" s="515"/>
      <c r="H277" s="515"/>
      <c r="I277" s="77">
        <v>1.56</v>
      </c>
      <c r="K277" s="1"/>
    </row>
    <row r="278" spans="1:11" ht="14.25" customHeight="1">
      <c r="A278"/>
      <c r="B278" s="515" t="s">
        <v>175</v>
      </c>
      <c r="C278" s="515"/>
      <c r="D278" s="515"/>
      <c r="E278" s="515"/>
      <c r="F278" s="515"/>
      <c r="G278" s="515"/>
      <c r="H278" s="515"/>
      <c r="I278" s="77">
        <v>3.21</v>
      </c>
      <c r="K278" s="1"/>
    </row>
    <row r="279" spans="1:11" ht="14.25" customHeight="1">
      <c r="A279"/>
      <c r="B279" s="515" t="s">
        <v>270</v>
      </c>
      <c r="C279" s="515"/>
      <c r="D279" s="515"/>
      <c r="E279" s="515"/>
      <c r="F279" s="515"/>
      <c r="G279" s="515"/>
      <c r="H279" s="515"/>
      <c r="I279" s="77">
        <v>1.56</v>
      </c>
      <c r="K279" s="1"/>
    </row>
    <row r="280" spans="1:11" ht="14.25" customHeight="1">
      <c r="A280"/>
      <c r="B280" s="515" t="s">
        <v>307</v>
      </c>
      <c r="C280" s="515"/>
      <c r="D280" s="515"/>
      <c r="E280" s="515"/>
      <c r="F280" s="515"/>
      <c r="G280" s="515"/>
      <c r="H280" s="515"/>
      <c r="I280" s="77"/>
      <c r="K280" s="1"/>
    </row>
    <row r="281" spans="1:11" ht="14.25" customHeight="1">
      <c r="A281"/>
      <c r="B281" s="515" t="s">
        <v>176</v>
      </c>
      <c r="C281" s="515"/>
      <c r="D281" s="515"/>
      <c r="E281" s="515"/>
      <c r="F281" s="515"/>
      <c r="G281" s="515"/>
      <c r="H281" s="515"/>
      <c r="I281" s="77">
        <v>16.27</v>
      </c>
      <c r="K281" s="1"/>
    </row>
    <row r="282" spans="1:11" ht="14.25" customHeight="1">
      <c r="A282"/>
      <c r="B282" s="515" t="s">
        <v>171</v>
      </c>
      <c r="C282" s="515"/>
      <c r="D282" s="515"/>
      <c r="E282" s="515"/>
      <c r="F282" s="515"/>
      <c r="G282" s="515"/>
      <c r="H282" s="515"/>
      <c r="I282" s="77">
        <v>4.04</v>
      </c>
      <c r="K282" s="1"/>
    </row>
    <row r="283" spans="1:11" ht="10.5" customHeight="1">
      <c r="A283"/>
      <c r="B283" s="78"/>
      <c r="C283" s="78"/>
      <c r="D283" s="78"/>
      <c r="E283" s="78"/>
      <c r="F283" s="78"/>
      <c r="G283" s="78"/>
      <c r="H283" s="78"/>
      <c r="I283" s="77"/>
      <c r="K283" s="1"/>
    </row>
    <row r="284" spans="1:11" ht="45.75" customHeight="1">
      <c r="A284"/>
      <c r="B284" s="504" t="s">
        <v>177</v>
      </c>
      <c r="C284" s="504"/>
      <c r="D284" s="504"/>
      <c r="E284" s="504"/>
      <c r="F284" s="504"/>
      <c r="G284" s="504"/>
      <c r="H284" s="504"/>
      <c r="I284" s="77"/>
      <c r="K284" s="1"/>
    </row>
    <row r="285" spans="1:11" ht="31.5" customHeight="1">
      <c r="A285"/>
      <c r="B285" s="506" t="s">
        <v>326</v>
      </c>
      <c r="C285" s="506"/>
      <c r="D285" s="506"/>
      <c r="E285" s="506"/>
      <c r="F285" s="506"/>
      <c r="G285" s="506"/>
      <c r="H285" s="506"/>
      <c r="I285" s="77"/>
      <c r="K285" s="1"/>
    </row>
    <row r="286" spans="1:11" ht="34.5" customHeight="1">
      <c r="A286"/>
      <c r="B286" s="504" t="s">
        <v>178</v>
      </c>
      <c r="C286" s="504"/>
      <c r="D286" s="504"/>
      <c r="E286" s="504"/>
      <c r="F286" s="504"/>
      <c r="G286" s="504"/>
      <c r="H286" s="504"/>
      <c r="I286" s="77"/>
      <c r="K286" s="1"/>
    </row>
    <row r="287" spans="1:11" ht="14.25" customHeight="1" thickBot="1">
      <c r="A287"/>
      <c r="B287" s="515"/>
      <c r="C287" s="515"/>
      <c r="D287" s="515"/>
      <c r="E287" s="515"/>
      <c r="F287" s="515"/>
      <c r="G287" s="515"/>
      <c r="H287" s="515"/>
      <c r="I287" s="95"/>
      <c r="K287" s="1"/>
    </row>
    <row r="288" spans="1:11" ht="14.25" customHeight="1">
      <c r="A288"/>
      <c r="B288" s="512" t="s">
        <v>11</v>
      </c>
      <c r="C288" s="513"/>
      <c r="D288" s="513"/>
      <c r="E288" s="513"/>
      <c r="F288" s="513"/>
      <c r="G288" s="513"/>
      <c r="H288" s="513"/>
      <c r="I288" s="514"/>
      <c r="K288" s="1"/>
    </row>
    <row r="289" spans="1:11" ht="14.25" customHeight="1" thickBot="1">
      <c r="A289"/>
      <c r="B289" s="509" t="s">
        <v>20</v>
      </c>
      <c r="C289" s="510"/>
      <c r="D289" s="510"/>
      <c r="E289" s="510"/>
      <c r="F289" s="510"/>
      <c r="G289" s="510"/>
      <c r="H289" s="510"/>
      <c r="I289" s="511"/>
      <c r="K289" s="1"/>
    </row>
    <row r="290" spans="1:11" ht="14.25">
      <c r="A290"/>
      <c r="B290" s="498" t="s">
        <v>6</v>
      </c>
      <c r="C290" s="498"/>
      <c r="D290" s="498"/>
      <c r="E290" s="498"/>
      <c r="F290" s="498"/>
      <c r="G290" s="498"/>
      <c r="H290" s="499"/>
      <c r="I290" s="23" t="s">
        <v>13</v>
      </c>
      <c r="J290" s="36"/>
      <c r="K290" s="40"/>
    </row>
    <row r="291" spans="1:11" ht="15" customHeight="1">
      <c r="A291"/>
      <c r="B291" s="495" t="s">
        <v>21</v>
      </c>
      <c r="C291" s="495"/>
      <c r="D291" s="495"/>
      <c r="E291" s="495"/>
      <c r="F291" s="495"/>
      <c r="G291" s="495"/>
      <c r="H291" s="496"/>
      <c r="I291" s="22">
        <v>14.58</v>
      </c>
      <c r="J291" s="36"/>
      <c r="K291" s="30"/>
    </row>
    <row r="292" spans="1:11" ht="15" customHeight="1">
      <c r="B292" s="495" t="s">
        <v>19</v>
      </c>
      <c r="C292" s="495"/>
      <c r="D292" s="495"/>
      <c r="E292" s="495"/>
      <c r="F292" s="495"/>
      <c r="G292" s="495"/>
      <c r="H292" s="496"/>
      <c r="I292" s="22">
        <v>0.28999999999999998</v>
      </c>
      <c r="J292" s="36"/>
      <c r="K292" s="30"/>
    </row>
    <row r="293" spans="1:11" ht="15" customHeight="1">
      <c r="B293" s="507" t="s">
        <v>220</v>
      </c>
      <c r="C293" s="507"/>
      <c r="D293" s="507"/>
      <c r="E293" s="507"/>
      <c r="F293" s="507"/>
      <c r="G293" s="507"/>
      <c r="H293" s="508"/>
      <c r="I293" s="22">
        <f>I307</f>
        <v>26.939999999999998</v>
      </c>
      <c r="J293" s="36"/>
      <c r="K293" s="30"/>
    </row>
    <row r="294" spans="1:11" ht="15" customHeight="1">
      <c r="B294" s="500" t="s">
        <v>369</v>
      </c>
      <c r="C294" s="500"/>
      <c r="D294" s="500"/>
      <c r="E294" s="500"/>
      <c r="F294" s="500"/>
      <c r="G294" s="500"/>
      <c r="H294" s="501"/>
      <c r="I294" s="22">
        <f>I309</f>
        <v>6.5600000000000005</v>
      </c>
      <c r="J294" s="36"/>
      <c r="K294" s="30"/>
    </row>
    <row r="295" spans="1:11" ht="15" customHeight="1">
      <c r="B295" s="495" t="s">
        <v>38</v>
      </c>
      <c r="C295" s="495"/>
      <c r="D295" s="495"/>
      <c r="E295" s="495"/>
      <c r="F295" s="495"/>
      <c r="G295" s="495"/>
      <c r="H295" s="496"/>
      <c r="I295" s="22">
        <f>I311</f>
        <v>1.24</v>
      </c>
      <c r="J295" s="36"/>
      <c r="K295" s="30"/>
    </row>
    <row r="296" spans="1:11" ht="15" customHeight="1">
      <c r="B296" s="495" t="s">
        <v>420</v>
      </c>
      <c r="C296" s="495"/>
      <c r="D296" s="495"/>
      <c r="E296" s="495"/>
      <c r="F296" s="495"/>
      <c r="G296" s="495"/>
      <c r="H296" s="496"/>
      <c r="I296" s="27">
        <f>TRUNC(I170/2,2)</f>
        <v>195.82</v>
      </c>
      <c r="J296" s="36"/>
    </row>
    <row r="297" spans="1:11" ht="15" customHeight="1">
      <c r="B297" s="495" t="s">
        <v>421</v>
      </c>
      <c r="C297" s="495"/>
      <c r="D297" s="495"/>
      <c r="E297" s="495"/>
      <c r="F297" s="495"/>
      <c r="G297" s="495"/>
      <c r="H297" s="496"/>
      <c r="I297" s="27"/>
      <c r="J297" s="36"/>
    </row>
    <row r="298" spans="1:11" ht="15" customHeight="1">
      <c r="B298" s="495" t="s">
        <v>422</v>
      </c>
      <c r="C298" s="495"/>
      <c r="D298" s="495"/>
      <c r="E298" s="495"/>
      <c r="F298" s="495"/>
      <c r="G298" s="495"/>
      <c r="H298" s="496"/>
      <c r="I298" s="27">
        <f>TRUNC(I173/2,2)</f>
        <v>81.569999999999993</v>
      </c>
      <c r="J298" s="36"/>
    </row>
    <row r="299" spans="1:11" ht="15" customHeight="1">
      <c r="B299" s="495" t="s">
        <v>23</v>
      </c>
      <c r="C299" s="495"/>
      <c r="D299" s="495"/>
      <c r="E299" s="495"/>
      <c r="F299" s="495"/>
      <c r="G299" s="495"/>
      <c r="H299" s="496"/>
      <c r="I299" s="27">
        <v>0.2</v>
      </c>
      <c r="J299" s="36"/>
    </row>
    <row r="300" spans="1:11" ht="15" customHeight="1">
      <c r="B300" s="495" t="s">
        <v>24</v>
      </c>
      <c r="C300" s="495"/>
      <c r="D300" s="495"/>
      <c r="E300" s="495"/>
      <c r="F300" s="495"/>
      <c r="G300" s="495"/>
      <c r="H300" s="496"/>
      <c r="I300" s="27">
        <v>0.05</v>
      </c>
      <c r="J300" s="36"/>
    </row>
    <row r="301" spans="1:11" ht="15" customHeight="1">
      <c r="B301" s="497" t="s">
        <v>484</v>
      </c>
      <c r="C301" s="497"/>
      <c r="D301" s="497"/>
      <c r="E301" s="497"/>
      <c r="F301" s="497"/>
      <c r="G301" s="497"/>
      <c r="H301" s="56"/>
      <c r="I301" s="27">
        <v>0.04</v>
      </c>
      <c r="J301" s="36"/>
    </row>
    <row r="302" spans="1:11" ht="15" customHeight="1">
      <c r="B302" s="497" t="s">
        <v>489</v>
      </c>
      <c r="C302" s="497"/>
      <c r="D302" s="281"/>
      <c r="E302" s="281"/>
      <c r="F302" s="281"/>
      <c r="G302" s="281"/>
      <c r="H302" s="56"/>
      <c r="I302" s="27">
        <v>0.03</v>
      </c>
      <c r="J302" s="36"/>
    </row>
    <row r="303" spans="1:11" ht="15" customHeight="1">
      <c r="B303" s="497" t="s">
        <v>459</v>
      </c>
      <c r="C303" s="497"/>
      <c r="D303" s="497"/>
      <c r="E303" s="281"/>
      <c r="F303" s="281"/>
      <c r="G303" s="281"/>
      <c r="H303" s="56"/>
      <c r="I303" s="291">
        <v>21.36</v>
      </c>
      <c r="J303" s="36"/>
    </row>
    <row r="304" spans="1:11" ht="15" customHeight="1">
      <c r="A304" s="44"/>
      <c r="B304" s="505"/>
      <c r="C304" s="505"/>
      <c r="D304" s="505"/>
      <c r="E304" s="505"/>
      <c r="F304" s="505"/>
      <c r="G304" s="505"/>
      <c r="H304" s="505"/>
      <c r="I304" s="45"/>
      <c r="J304" s="46"/>
    </row>
    <row r="305" spans="1:10" ht="18" customHeight="1">
      <c r="A305"/>
      <c r="B305" s="503" t="s">
        <v>428</v>
      </c>
      <c r="C305" s="503"/>
      <c r="D305" s="503"/>
      <c r="E305" s="503"/>
      <c r="F305" s="503"/>
      <c r="G305" s="503"/>
      <c r="H305" s="503"/>
      <c r="I305" s="502" t="s">
        <v>3</v>
      </c>
      <c r="J305"/>
    </row>
    <row r="306" spans="1:10" ht="20.25" customHeight="1">
      <c r="A306"/>
      <c r="B306" s="245" t="s">
        <v>418</v>
      </c>
      <c r="C306" s="133" t="s">
        <v>4</v>
      </c>
      <c r="D306" s="246">
        <v>0.02</v>
      </c>
      <c r="E306" s="244">
        <v>0.2</v>
      </c>
      <c r="F306" s="130">
        <v>0.05</v>
      </c>
      <c r="G306" s="130">
        <v>0.05</v>
      </c>
      <c r="H306" s="130">
        <v>0.04</v>
      </c>
      <c r="I306" s="502"/>
      <c r="J306"/>
    </row>
    <row r="307" spans="1:10" ht="14.25" customHeight="1">
      <c r="B307" s="131">
        <v>19.82</v>
      </c>
      <c r="C307" s="127">
        <f>SUM(A307:B307)</f>
        <v>19.82</v>
      </c>
      <c r="D307" s="243">
        <f>TRUNC(C307*0.02,2)</f>
        <v>0.39</v>
      </c>
      <c r="E307" s="243">
        <f>TRUNC(C307*0.2,2)</f>
        <v>3.96</v>
      </c>
      <c r="F307" s="127">
        <f>TRUNC(SUM(C307)*0.05,2)</f>
        <v>0.99</v>
      </c>
      <c r="G307" s="127">
        <f>F307</f>
        <v>0.99</v>
      </c>
      <c r="H307" s="127">
        <f>TRUNC(C307*$I$301,2)</f>
        <v>0.79</v>
      </c>
      <c r="I307" s="132">
        <f>SUM(C307:H307)</f>
        <v>26.939999999999998</v>
      </c>
      <c r="J307"/>
    </row>
    <row r="308" spans="1:10" ht="14.25" customHeight="1">
      <c r="B308" s="329" t="s">
        <v>366</v>
      </c>
      <c r="C308" s="493" t="s">
        <v>367</v>
      </c>
      <c r="D308" s="494"/>
      <c r="E308" s="494"/>
      <c r="F308" s="494"/>
      <c r="G308" s="494"/>
      <c r="H308" s="494"/>
      <c r="I308" s="327"/>
      <c r="J308"/>
    </row>
    <row r="309" spans="1:10" ht="15.75">
      <c r="B309" s="330">
        <v>4.84</v>
      </c>
      <c r="C309" s="328">
        <f>B309</f>
        <v>4.84</v>
      </c>
      <c r="D309" s="243">
        <f>TRUNC(C309*0.02,2)</f>
        <v>0.09</v>
      </c>
      <c r="E309" s="243">
        <f>TRUNC(C309*0.2,2)</f>
        <v>0.96</v>
      </c>
      <c r="F309" s="127">
        <f>TRUNC(SUM(C309)*0.05,2)</f>
        <v>0.24</v>
      </c>
      <c r="G309" s="127">
        <f>F309</f>
        <v>0.24</v>
      </c>
      <c r="H309" s="127">
        <f>TRUNC(C309*$I$301,2)</f>
        <v>0.19</v>
      </c>
      <c r="I309" s="132">
        <f>SUM(C309:H309)</f>
        <v>6.5600000000000005</v>
      </c>
      <c r="J309"/>
    </row>
    <row r="310" spans="1:10" ht="15.75" customHeight="1">
      <c r="B310" s="245" t="s">
        <v>419</v>
      </c>
      <c r="C310" s="545" t="s">
        <v>368</v>
      </c>
      <c r="D310" s="546"/>
      <c r="E310" s="546"/>
      <c r="F310" s="546"/>
      <c r="G310" s="546"/>
      <c r="H310" s="547"/>
      <c r="I310" s="129" t="s">
        <v>3</v>
      </c>
    </row>
    <row r="311" spans="1:10" ht="19.5" customHeight="1">
      <c r="B311" s="128">
        <v>0.94</v>
      </c>
      <c r="C311" s="127">
        <f>B311</f>
        <v>0.94</v>
      </c>
      <c r="D311" s="243">
        <f>TRUNC(C311*0.02,2)</f>
        <v>0.01</v>
      </c>
      <c r="E311" s="243">
        <f>TRUNC(C311*0.2,2)</f>
        <v>0.18</v>
      </c>
      <c r="F311" s="127">
        <f>TRUNC(SUM(C311)*0.05,2)</f>
        <v>0.04</v>
      </c>
      <c r="G311" s="127">
        <f>F311</f>
        <v>0.04</v>
      </c>
      <c r="H311" s="127">
        <f>TRUNC(C311*$I$301,2)</f>
        <v>0.03</v>
      </c>
      <c r="I311" s="132">
        <f>SUM(C311:H311)</f>
        <v>1.24</v>
      </c>
    </row>
    <row r="312" spans="1:10">
      <c r="A312"/>
    </row>
    <row r="313" spans="1:10">
      <c r="A313"/>
    </row>
    <row r="314" spans="1:10">
      <c r="A314"/>
    </row>
    <row r="315" spans="1:10">
      <c r="A315"/>
    </row>
    <row r="316" spans="1:10">
      <c r="A316"/>
    </row>
  </sheetData>
  <mergeCells count="165">
    <mergeCell ref="J240:K240"/>
    <mergeCell ref="C241:H241"/>
    <mergeCell ref="B303:D303"/>
    <mergeCell ref="C310:H310"/>
    <mergeCell ref="B144:H144"/>
    <mergeCell ref="B4:I4"/>
    <mergeCell ref="B13:I13"/>
    <mergeCell ref="B14:I14"/>
    <mergeCell ref="B7:H7"/>
    <mergeCell ref="B8:H8"/>
    <mergeCell ref="B108:H108"/>
    <mergeCell ref="B27:H27"/>
    <mergeCell ref="B23:H23"/>
    <mergeCell ref="C22:E22"/>
    <mergeCell ref="B32:H32"/>
    <mergeCell ref="B34:I34"/>
    <mergeCell ref="B30:H30"/>
    <mergeCell ref="B25:H25"/>
    <mergeCell ref="B37:H37"/>
    <mergeCell ref="B223:I223"/>
    <mergeCell ref="B187:I187"/>
    <mergeCell ref="B184:H184"/>
    <mergeCell ref="B185:H185"/>
    <mergeCell ref="B98:H98"/>
    <mergeCell ref="B2:I2"/>
    <mergeCell ref="B3:I3"/>
    <mergeCell ref="B11:H11"/>
    <mergeCell ref="B6:H6"/>
    <mergeCell ref="B5:H5"/>
    <mergeCell ref="B218:H218"/>
    <mergeCell ref="B105:H105"/>
    <mergeCell ref="B104:H104"/>
    <mergeCell ref="B106:H106"/>
    <mergeCell ref="B122:I122"/>
    <mergeCell ref="B126:H126"/>
    <mergeCell ref="B119:H119"/>
    <mergeCell ref="B120:H120"/>
    <mergeCell ref="B103:H103"/>
    <mergeCell ref="B127:H127"/>
    <mergeCell ref="B100:H100"/>
    <mergeCell ref="B99:H99"/>
    <mergeCell ref="B123:I123"/>
    <mergeCell ref="B121:H121"/>
    <mergeCell ref="B102:H102"/>
    <mergeCell ref="B107:H107"/>
    <mergeCell ref="B112:H112"/>
    <mergeCell ref="B118:H118"/>
    <mergeCell ref="B16:H16"/>
    <mergeCell ref="B114:H114"/>
    <mergeCell ref="B188:I188"/>
    <mergeCell ref="B124:H124"/>
    <mergeCell ref="B117:H117"/>
    <mergeCell ref="B24:H24"/>
    <mergeCell ref="B69:I69"/>
    <mergeCell ref="B70:I70"/>
    <mergeCell ref="B39:H39"/>
    <mergeCell ref="B40:H40"/>
    <mergeCell ref="B36:H36"/>
    <mergeCell ref="B91:H91"/>
    <mergeCell ref="B96:H96"/>
    <mergeCell ref="B90:H90"/>
    <mergeCell ref="B92:H92"/>
    <mergeCell ref="B88:H88"/>
    <mergeCell ref="B89:H89"/>
    <mergeCell ref="B97:H97"/>
    <mergeCell ref="B95:H95"/>
    <mergeCell ref="B93:H93"/>
    <mergeCell ref="B94:H94"/>
    <mergeCell ref="B101:H101"/>
    <mergeCell ref="B115:H115"/>
    <mergeCell ref="B15:H15"/>
    <mergeCell ref="B9:H9"/>
    <mergeCell ref="B10:H10"/>
    <mergeCell ref="B87:H87"/>
    <mergeCell ref="B38:H38"/>
    <mergeCell ref="B57:I57"/>
    <mergeCell ref="B29:H29"/>
    <mergeCell ref="B26:H26"/>
    <mergeCell ref="B28:H28"/>
    <mergeCell ref="B31:H31"/>
    <mergeCell ref="B85:I85"/>
    <mergeCell ref="B86:I86"/>
    <mergeCell ref="B35:I35"/>
    <mergeCell ref="B56:I56"/>
    <mergeCell ref="B222:H222"/>
    <mergeCell ref="B220:H220"/>
    <mergeCell ref="B219:H219"/>
    <mergeCell ref="B221:H221"/>
    <mergeCell ref="B189:H189"/>
    <mergeCell ref="B116:H116"/>
    <mergeCell ref="B224:I224"/>
    <mergeCell ref="B183:H183"/>
    <mergeCell ref="B125:H125"/>
    <mergeCell ref="B190:H190"/>
    <mergeCell ref="B225:H225"/>
    <mergeCell ref="B111:H111"/>
    <mergeCell ref="B110:H110"/>
    <mergeCell ref="B113:H113"/>
    <mergeCell ref="B109:H109"/>
    <mergeCell ref="B228:E228"/>
    <mergeCell ref="B227:H227"/>
    <mergeCell ref="B268:H268"/>
    <mergeCell ref="B267:H267"/>
    <mergeCell ref="B262:H262"/>
    <mergeCell ref="B265:H265"/>
    <mergeCell ref="B264:H264"/>
    <mergeCell ref="B260:H260"/>
    <mergeCell ref="B263:H263"/>
    <mergeCell ref="B253:H253"/>
    <mergeCell ref="B249:H249"/>
    <mergeCell ref="B250:H250"/>
    <mergeCell ref="B251:H251"/>
    <mergeCell ref="B252:H252"/>
    <mergeCell ref="B226:H226"/>
    <mergeCell ref="B248:H248"/>
    <mergeCell ref="C229:F229"/>
    <mergeCell ref="B233:G233"/>
    <mergeCell ref="C242:F242"/>
    <mergeCell ref="B282:H282"/>
    <mergeCell ref="C244:H244"/>
    <mergeCell ref="B257:H257"/>
    <mergeCell ref="B259:H259"/>
    <mergeCell ref="B256:H256"/>
    <mergeCell ref="B266:H266"/>
    <mergeCell ref="B261:H261"/>
    <mergeCell ref="B254:H254"/>
    <mergeCell ref="B255:H255"/>
    <mergeCell ref="B258:H258"/>
    <mergeCell ref="B271:H271"/>
    <mergeCell ref="B274:H274"/>
    <mergeCell ref="B275:H275"/>
    <mergeCell ref="B281:H281"/>
    <mergeCell ref="B276:H276"/>
    <mergeCell ref="B269:H269"/>
    <mergeCell ref="B279:H279"/>
    <mergeCell ref="B270:H270"/>
    <mergeCell ref="B272:H272"/>
    <mergeCell ref="B273:H273"/>
    <mergeCell ref="B278:H278"/>
    <mergeCell ref="B280:H280"/>
    <mergeCell ref="B277:H277"/>
    <mergeCell ref="B1:I1"/>
    <mergeCell ref="C308:H308"/>
    <mergeCell ref="B300:H300"/>
    <mergeCell ref="B301:G301"/>
    <mergeCell ref="B299:H299"/>
    <mergeCell ref="B290:H290"/>
    <mergeCell ref="B296:H296"/>
    <mergeCell ref="B291:H291"/>
    <mergeCell ref="B292:H292"/>
    <mergeCell ref="B294:H294"/>
    <mergeCell ref="I305:I306"/>
    <mergeCell ref="B305:H305"/>
    <mergeCell ref="B284:H284"/>
    <mergeCell ref="B295:H295"/>
    <mergeCell ref="B304:H304"/>
    <mergeCell ref="B298:H298"/>
    <mergeCell ref="B297:H297"/>
    <mergeCell ref="B286:H286"/>
    <mergeCell ref="B285:H285"/>
    <mergeCell ref="B293:H293"/>
    <mergeCell ref="B302:C302"/>
    <mergeCell ref="B289:I289"/>
    <mergeCell ref="B288:I288"/>
    <mergeCell ref="B287:H287"/>
  </mergeCells>
  <phoneticPr fontId="15" type="noConversion"/>
  <printOptions horizontalCentered="1"/>
  <pageMargins left="0.59055118110236227" right="0.39370078740157483" top="0.78740157480314965" bottom="0.78740157480314965" header="0.51181102362204722" footer="0.51181102362204722"/>
  <pageSetup paperSize="5" scale="90" orientation="portrait" r:id="rId1"/>
  <headerFooter alignWithMargins="0">
    <oddFooter>&amp;L&amp;7&amp;F - &amp;A &amp;C&amp;8&amp;P</oddFooter>
  </headerFooter>
</worksheet>
</file>

<file path=xl/worksheets/sheet2.xml><?xml version="1.0" encoding="utf-8"?>
<worksheet xmlns="http://schemas.openxmlformats.org/spreadsheetml/2006/main" xmlns:r="http://schemas.openxmlformats.org/officeDocument/2006/relationships">
  <sheetPr>
    <tabColor indexed="55"/>
    <pageSetUpPr fitToPage="1"/>
  </sheetPr>
  <dimension ref="A1:T34"/>
  <sheetViews>
    <sheetView showGridLines="0" topLeftCell="A3" zoomScale="70" zoomScaleNormal="70" workbookViewId="0">
      <selection activeCell="R46" sqref="R46"/>
    </sheetView>
  </sheetViews>
  <sheetFormatPr defaultRowHeight="12.75"/>
  <cols>
    <col min="1" max="1" width="6.7109375" style="5" customWidth="1"/>
    <col min="2" max="2" width="6.5703125" customWidth="1"/>
    <col min="3" max="3" width="12.7109375" customWidth="1"/>
    <col min="4" max="4" width="5.7109375" customWidth="1"/>
    <col min="5" max="5" width="11" customWidth="1"/>
    <col min="6" max="6" width="26.5703125" customWidth="1"/>
    <col min="7" max="7" width="10.85546875" style="189" customWidth="1"/>
    <col min="8" max="8" width="6.5703125" customWidth="1"/>
    <col min="9" max="9" width="7.42578125" style="189" customWidth="1"/>
    <col min="10" max="10" width="9.5703125" style="189" customWidth="1"/>
    <col min="11" max="11" width="10.28515625" customWidth="1"/>
    <col min="12" max="15" width="9.28515625" bestFit="1" customWidth="1"/>
    <col min="16" max="16" width="8" customWidth="1"/>
    <col min="17" max="18" width="9.28515625" bestFit="1" customWidth="1"/>
    <col min="19" max="19" width="7" customWidth="1"/>
    <col min="20" max="20" width="10.42578125" style="189" bestFit="1" customWidth="1"/>
  </cols>
  <sheetData>
    <row r="1" spans="1:20" ht="22.5" customHeight="1" thickBot="1">
      <c r="A1" s="178"/>
      <c r="B1" s="576" t="str">
        <f>TabelaMatriz!B1</f>
        <v>PORTARIA n.º 3210/2017</v>
      </c>
      <c r="C1" s="577"/>
      <c r="D1" s="577"/>
      <c r="E1" s="577"/>
      <c r="F1" s="578"/>
      <c r="G1" s="564" t="s">
        <v>478</v>
      </c>
      <c r="H1" s="565"/>
      <c r="I1" s="565"/>
      <c r="J1" s="565"/>
      <c r="K1" s="565"/>
      <c r="L1" s="565"/>
      <c r="M1" s="565"/>
      <c r="N1" s="565"/>
      <c r="O1" s="565"/>
      <c r="P1" s="565"/>
      <c r="Q1" s="565"/>
      <c r="R1" s="565"/>
      <c r="S1" s="565"/>
      <c r="T1" s="566"/>
    </row>
    <row r="2" spans="1:20" ht="22.5" customHeight="1">
      <c r="A2" s="579" t="s">
        <v>29</v>
      </c>
      <c r="B2" s="581" t="s">
        <v>6</v>
      </c>
      <c r="C2" s="582"/>
      <c r="D2" s="582"/>
      <c r="E2" s="582"/>
      <c r="F2" s="583"/>
      <c r="G2" s="574" t="s">
        <v>237</v>
      </c>
      <c r="H2" s="117" t="s">
        <v>238</v>
      </c>
      <c r="I2" s="192" t="s">
        <v>239</v>
      </c>
      <c r="J2" s="569" t="s">
        <v>241</v>
      </c>
      <c r="K2" s="573" t="s">
        <v>292</v>
      </c>
      <c r="L2" s="567" t="s">
        <v>293</v>
      </c>
      <c r="M2" s="567" t="s">
        <v>294</v>
      </c>
      <c r="N2" s="567" t="s">
        <v>182</v>
      </c>
      <c r="O2" s="567" t="s">
        <v>295</v>
      </c>
      <c r="P2" s="567" t="s">
        <v>488</v>
      </c>
      <c r="Q2" s="567" t="s">
        <v>296</v>
      </c>
      <c r="R2" s="567" t="s">
        <v>184</v>
      </c>
      <c r="S2" s="567" t="s">
        <v>32</v>
      </c>
      <c r="T2" s="571" t="s">
        <v>3</v>
      </c>
    </row>
    <row r="3" spans="1:20" ht="36.75" customHeight="1" thickBot="1">
      <c r="A3" s="580"/>
      <c r="B3" s="584"/>
      <c r="C3" s="585"/>
      <c r="D3" s="585"/>
      <c r="E3" s="585"/>
      <c r="F3" s="586"/>
      <c r="G3" s="575"/>
      <c r="H3" s="118" t="s">
        <v>251</v>
      </c>
      <c r="I3" s="193" t="s">
        <v>240</v>
      </c>
      <c r="J3" s="570"/>
      <c r="K3" s="573"/>
      <c r="L3" s="568"/>
      <c r="M3" s="568"/>
      <c r="N3" s="568"/>
      <c r="O3" s="568"/>
      <c r="P3" s="568"/>
      <c r="Q3" s="568"/>
      <c r="R3" s="568"/>
      <c r="S3" s="568"/>
      <c r="T3" s="572"/>
    </row>
    <row r="4" spans="1:20" ht="27" customHeight="1">
      <c r="A4" s="179"/>
      <c r="B4" s="556" t="s">
        <v>243</v>
      </c>
      <c r="C4" s="587"/>
      <c r="D4" s="587"/>
      <c r="E4" s="587"/>
      <c r="F4" s="542"/>
      <c r="G4" s="190"/>
      <c r="H4" s="1"/>
      <c r="I4" s="194"/>
      <c r="J4" s="194"/>
      <c r="K4" s="1"/>
      <c r="L4" s="1"/>
      <c r="M4" s="1"/>
      <c r="N4" s="1"/>
      <c r="O4" s="1"/>
      <c r="P4" s="1"/>
      <c r="Q4" s="1"/>
      <c r="R4" s="1"/>
      <c r="S4" s="1"/>
      <c r="T4" s="185"/>
    </row>
    <row r="5" spans="1:20" ht="14.25">
      <c r="A5" s="180">
        <v>7012</v>
      </c>
      <c r="B5" s="92" t="s">
        <v>54</v>
      </c>
      <c r="C5" s="57">
        <v>0</v>
      </c>
      <c r="D5" s="57"/>
      <c r="E5" s="57" t="s">
        <v>55</v>
      </c>
      <c r="F5" s="18">
        <v>10000</v>
      </c>
      <c r="G5" s="170">
        <f>TabelaMatriz!$I$17</f>
        <v>158.04</v>
      </c>
      <c r="H5" s="326">
        <f>TabelaMatriz!$I$6</f>
        <v>0.86</v>
      </c>
      <c r="I5" s="156">
        <f>+TabelaMatriz!$I$10</f>
        <v>12</v>
      </c>
      <c r="J5" s="156">
        <f>SUM(G5:I5)</f>
        <v>170.9</v>
      </c>
      <c r="K5" s="84">
        <f>TRUNC(G5*2%,2)</f>
        <v>3.16</v>
      </c>
      <c r="L5" s="84">
        <f t="shared" ref="L5:L10" si="0">TRUNC(J5*20%,2)</f>
        <v>34.18</v>
      </c>
      <c r="M5" s="84">
        <f t="shared" ref="M5:M10" si="1">TRUNC(J5*5%,2)</f>
        <v>8.5399999999999991</v>
      </c>
      <c r="N5" s="93">
        <f>M5</f>
        <v>8.5399999999999991</v>
      </c>
      <c r="O5" s="84">
        <f t="shared" ref="O5:O10" si="2">TRUNC(J5*4%,2)</f>
        <v>6.83</v>
      </c>
      <c r="P5" s="84">
        <v>6.83</v>
      </c>
      <c r="Q5" s="84">
        <v>0</v>
      </c>
      <c r="R5" s="84">
        <v>0</v>
      </c>
      <c r="S5" s="84">
        <f>TabelaMatriz!$I$293</f>
        <v>26.939999999999998</v>
      </c>
      <c r="T5" s="186">
        <f t="shared" ref="T5:T10" si="3">SUM(J5:S5)</f>
        <v>265.92</v>
      </c>
    </row>
    <row r="6" spans="1:20" ht="14.25">
      <c r="A6" s="180">
        <v>7013</v>
      </c>
      <c r="B6" s="92" t="s">
        <v>56</v>
      </c>
      <c r="C6" s="17">
        <v>10000</v>
      </c>
      <c r="D6" s="57"/>
      <c r="E6" s="57" t="s">
        <v>55</v>
      </c>
      <c r="F6" s="18">
        <v>30000</v>
      </c>
      <c r="G6" s="170">
        <f>TabelaMatriz!$I$18</f>
        <v>189.65</v>
      </c>
      <c r="H6" s="326">
        <f>TabelaMatriz!$I$6</f>
        <v>0.86</v>
      </c>
      <c r="I6" s="156">
        <f>+TabelaMatriz!$I$10</f>
        <v>12</v>
      </c>
      <c r="J6" s="156">
        <f t="shared" ref="J6:J17" si="4">SUM(G6:I6)</f>
        <v>202.51000000000002</v>
      </c>
      <c r="K6" s="84">
        <f t="shared" ref="K6:K28" si="5">TRUNC(G6*2%,2)</f>
        <v>3.79</v>
      </c>
      <c r="L6" s="84">
        <f t="shared" si="0"/>
        <v>40.5</v>
      </c>
      <c r="M6" s="84">
        <f t="shared" si="1"/>
        <v>10.119999999999999</v>
      </c>
      <c r="N6" s="93">
        <f t="shared" ref="N6:N28" si="6">M6</f>
        <v>10.119999999999999</v>
      </c>
      <c r="O6" s="84">
        <f t="shared" si="2"/>
        <v>8.1</v>
      </c>
      <c r="P6" s="84">
        <v>8.1</v>
      </c>
      <c r="Q6" s="84">
        <v>0</v>
      </c>
      <c r="R6" s="84">
        <v>0</v>
      </c>
      <c r="S6" s="84">
        <f>TabelaMatriz!$I$293</f>
        <v>26.939999999999998</v>
      </c>
      <c r="T6" s="186">
        <f t="shared" si="3"/>
        <v>310.18000000000006</v>
      </c>
    </row>
    <row r="7" spans="1:20" ht="14.25">
      <c r="A7" s="180">
        <v>7014</v>
      </c>
      <c r="B7" s="92" t="s">
        <v>27</v>
      </c>
      <c r="C7" s="17">
        <v>30000.01</v>
      </c>
      <c r="D7" s="57"/>
      <c r="E7" s="57" t="s">
        <v>55</v>
      </c>
      <c r="F7" s="18">
        <v>50000</v>
      </c>
      <c r="G7" s="170">
        <f>TabelaMatriz!$I$19</f>
        <v>221.26</v>
      </c>
      <c r="H7" s="326">
        <f>TabelaMatriz!$I$6</f>
        <v>0.86</v>
      </c>
      <c r="I7" s="156">
        <f>+TabelaMatriz!$I$10</f>
        <v>12</v>
      </c>
      <c r="J7" s="156">
        <f t="shared" si="4"/>
        <v>234.12</v>
      </c>
      <c r="K7" s="84">
        <f t="shared" si="5"/>
        <v>4.42</v>
      </c>
      <c r="L7" s="84">
        <f t="shared" si="0"/>
        <v>46.82</v>
      </c>
      <c r="M7" s="84">
        <f t="shared" si="1"/>
        <v>11.7</v>
      </c>
      <c r="N7" s="93">
        <f t="shared" si="6"/>
        <v>11.7</v>
      </c>
      <c r="O7" s="84">
        <f t="shared" si="2"/>
        <v>9.36</v>
      </c>
      <c r="P7" s="84">
        <v>9.36</v>
      </c>
      <c r="Q7" s="84">
        <v>0</v>
      </c>
      <c r="R7" s="84">
        <v>0</v>
      </c>
      <c r="S7" s="84">
        <f>TabelaMatriz!$I$293</f>
        <v>26.939999999999998</v>
      </c>
      <c r="T7" s="186">
        <f t="shared" si="3"/>
        <v>354.42</v>
      </c>
    </row>
    <row r="8" spans="1:20" ht="14.25">
      <c r="A8" s="180">
        <v>7015</v>
      </c>
      <c r="B8" s="92" t="s">
        <v>57</v>
      </c>
      <c r="C8" s="17">
        <v>50000.01</v>
      </c>
      <c r="D8" s="57"/>
      <c r="E8" s="57" t="s">
        <v>55</v>
      </c>
      <c r="F8" s="18">
        <v>70000</v>
      </c>
      <c r="G8" s="170">
        <f>TabelaMatriz!$I$20</f>
        <v>252.86</v>
      </c>
      <c r="H8" s="326">
        <f>TabelaMatriz!$I$6</f>
        <v>0.86</v>
      </c>
      <c r="I8" s="156">
        <f>+TabelaMatriz!$I$10</f>
        <v>12</v>
      </c>
      <c r="J8" s="156">
        <f t="shared" si="4"/>
        <v>265.72000000000003</v>
      </c>
      <c r="K8" s="84">
        <f t="shared" si="5"/>
        <v>5.05</v>
      </c>
      <c r="L8" s="84">
        <f t="shared" si="0"/>
        <v>53.14</v>
      </c>
      <c r="M8" s="84">
        <f t="shared" si="1"/>
        <v>13.28</v>
      </c>
      <c r="N8" s="93">
        <f t="shared" si="6"/>
        <v>13.28</v>
      </c>
      <c r="O8" s="84">
        <f t="shared" si="2"/>
        <v>10.62</v>
      </c>
      <c r="P8" s="84">
        <v>10.62</v>
      </c>
      <c r="Q8" s="84">
        <v>0</v>
      </c>
      <c r="R8" s="84">
        <v>0</v>
      </c>
      <c r="S8" s="84">
        <f>TabelaMatriz!$I$293</f>
        <v>26.939999999999998</v>
      </c>
      <c r="T8" s="186">
        <f t="shared" si="3"/>
        <v>398.65</v>
      </c>
    </row>
    <row r="9" spans="1:20" ht="14.25">
      <c r="A9" s="180">
        <v>7016</v>
      </c>
      <c r="B9" s="92" t="s">
        <v>58</v>
      </c>
      <c r="C9" s="17">
        <v>70000.009999999995</v>
      </c>
      <c r="D9" s="57"/>
      <c r="E9" s="57" t="s">
        <v>55</v>
      </c>
      <c r="F9" s="18">
        <v>100000</v>
      </c>
      <c r="G9" s="170">
        <f>TabelaMatriz!$I$21</f>
        <v>300.29000000000002</v>
      </c>
      <c r="H9" s="326">
        <f>TabelaMatriz!$I$6</f>
        <v>0.86</v>
      </c>
      <c r="I9" s="156">
        <f>+TabelaMatriz!$I$10</f>
        <v>12</v>
      </c>
      <c r="J9" s="156">
        <f t="shared" si="4"/>
        <v>313.15000000000003</v>
      </c>
      <c r="K9" s="84">
        <f t="shared" si="5"/>
        <v>6</v>
      </c>
      <c r="L9" s="84">
        <f t="shared" si="0"/>
        <v>62.63</v>
      </c>
      <c r="M9" s="84">
        <f t="shared" si="1"/>
        <v>15.65</v>
      </c>
      <c r="N9" s="93">
        <f t="shared" si="6"/>
        <v>15.65</v>
      </c>
      <c r="O9" s="84">
        <f t="shared" si="2"/>
        <v>12.52</v>
      </c>
      <c r="P9" s="84">
        <v>12.52</v>
      </c>
      <c r="Q9" s="84">
        <v>0</v>
      </c>
      <c r="R9" s="84">
        <v>0</v>
      </c>
      <c r="S9" s="84">
        <f>TabelaMatriz!$I$293</f>
        <v>26.939999999999998</v>
      </c>
      <c r="T9" s="186">
        <f t="shared" si="3"/>
        <v>465.05999999999995</v>
      </c>
    </row>
    <row r="10" spans="1:20" ht="21.75" customHeight="1">
      <c r="A10" s="180">
        <v>7017</v>
      </c>
      <c r="B10" s="92" t="s">
        <v>59</v>
      </c>
      <c r="C10" s="521" t="s">
        <v>60</v>
      </c>
      <c r="D10" s="521"/>
      <c r="E10" s="521"/>
      <c r="F10" s="532"/>
      <c r="G10" s="170">
        <f>TabelaMatriz!$I$22</f>
        <v>395.15</v>
      </c>
      <c r="H10" s="326">
        <f>TabelaMatriz!$I$6</f>
        <v>0.86</v>
      </c>
      <c r="I10" s="156">
        <f>+TabelaMatriz!$I$10</f>
        <v>12</v>
      </c>
      <c r="J10" s="156">
        <f t="shared" si="4"/>
        <v>408.01</v>
      </c>
      <c r="K10" s="84">
        <f t="shared" si="5"/>
        <v>7.9</v>
      </c>
      <c r="L10" s="84">
        <f t="shared" si="0"/>
        <v>81.599999999999994</v>
      </c>
      <c r="M10" s="84">
        <f t="shared" si="1"/>
        <v>20.399999999999999</v>
      </c>
      <c r="N10" s="93">
        <f t="shared" si="6"/>
        <v>20.399999999999999</v>
      </c>
      <c r="O10" s="84">
        <f t="shared" si="2"/>
        <v>16.32</v>
      </c>
      <c r="P10" s="84">
        <v>16.32</v>
      </c>
      <c r="Q10" s="84">
        <v>0</v>
      </c>
      <c r="R10" s="84">
        <v>0</v>
      </c>
      <c r="S10" s="84">
        <f>TabelaMatriz!$I$293</f>
        <v>26.939999999999998</v>
      </c>
      <c r="T10" s="186">
        <f t="shared" si="3"/>
        <v>597.8900000000001</v>
      </c>
    </row>
    <row r="11" spans="1:20" ht="27.75" customHeight="1">
      <c r="A11" s="180"/>
      <c r="B11" s="556" t="s">
        <v>242</v>
      </c>
      <c r="C11" s="587"/>
      <c r="D11" s="587"/>
      <c r="E11" s="587"/>
      <c r="F11" s="542"/>
      <c r="G11" s="190"/>
      <c r="H11" s="24"/>
      <c r="I11" s="156"/>
      <c r="J11" s="156"/>
      <c r="K11" s="84"/>
      <c r="L11" s="84"/>
      <c r="M11" s="84"/>
      <c r="N11" s="93"/>
      <c r="O11" s="84"/>
      <c r="P11" s="84"/>
      <c r="Q11" s="84"/>
      <c r="R11" s="84"/>
      <c r="S11" s="84"/>
      <c r="T11" s="186"/>
    </row>
    <row r="12" spans="1:20" ht="15" customHeight="1">
      <c r="A12" s="180">
        <v>7018</v>
      </c>
      <c r="B12" s="92" t="s">
        <v>54</v>
      </c>
      <c r="C12" s="57">
        <v>0</v>
      </c>
      <c r="D12" s="57"/>
      <c r="E12" s="57" t="s">
        <v>55</v>
      </c>
      <c r="F12" s="18">
        <v>10000</v>
      </c>
      <c r="G12" s="170">
        <f>TabelaMatriz!$I$17</f>
        <v>158.04</v>
      </c>
      <c r="H12" s="326">
        <f>TabelaMatriz!$I$6</f>
        <v>0.86</v>
      </c>
      <c r="I12" s="156">
        <f>+TabelaMatriz!$I$10</f>
        <v>12</v>
      </c>
      <c r="J12" s="156">
        <f t="shared" si="4"/>
        <v>170.9</v>
      </c>
      <c r="K12" s="84">
        <f t="shared" ref="K12:K17" si="7">TRUNC(G12*2%,2)</f>
        <v>3.16</v>
      </c>
      <c r="L12" s="84">
        <f t="shared" ref="L12:L17" si="8">TRUNC(J12*20%,2)</f>
        <v>34.18</v>
      </c>
      <c r="M12" s="84">
        <f t="shared" ref="M12:M28" si="9">TRUNC(J12*5%,2)</f>
        <v>8.5399999999999991</v>
      </c>
      <c r="N12" s="93">
        <f t="shared" ref="N12:N17" si="10">M12</f>
        <v>8.5399999999999991</v>
      </c>
      <c r="O12" s="84">
        <f t="shared" ref="O12:O28" si="11">TRUNC(J12*4%,2)</f>
        <v>6.83</v>
      </c>
      <c r="P12" s="84">
        <v>6.83</v>
      </c>
      <c r="Q12" s="84">
        <v>0</v>
      </c>
      <c r="R12" s="84">
        <v>0</v>
      </c>
      <c r="S12" s="84">
        <f>TabelaMatriz!$I$293</f>
        <v>26.939999999999998</v>
      </c>
      <c r="T12" s="186">
        <f t="shared" ref="T12:T28" si="12">SUM(J12:S12)</f>
        <v>265.92</v>
      </c>
    </row>
    <row r="13" spans="1:20" ht="15" customHeight="1">
      <c r="A13" s="180">
        <v>7019</v>
      </c>
      <c r="B13" s="92" t="s">
        <v>56</v>
      </c>
      <c r="C13" s="17">
        <v>10000</v>
      </c>
      <c r="D13" s="57"/>
      <c r="E13" s="57" t="s">
        <v>55</v>
      </c>
      <c r="F13" s="18">
        <v>30000</v>
      </c>
      <c r="G13" s="170">
        <f>TabelaMatriz!$I$18</f>
        <v>189.65</v>
      </c>
      <c r="H13" s="326">
        <f>TabelaMatriz!$I$6</f>
        <v>0.86</v>
      </c>
      <c r="I13" s="156">
        <f>+TabelaMatriz!$I$10</f>
        <v>12</v>
      </c>
      <c r="J13" s="156">
        <f t="shared" si="4"/>
        <v>202.51000000000002</v>
      </c>
      <c r="K13" s="84">
        <f t="shared" si="7"/>
        <v>3.79</v>
      </c>
      <c r="L13" s="84">
        <f t="shared" si="8"/>
        <v>40.5</v>
      </c>
      <c r="M13" s="84">
        <f t="shared" si="9"/>
        <v>10.119999999999999</v>
      </c>
      <c r="N13" s="93">
        <f t="shared" si="10"/>
        <v>10.119999999999999</v>
      </c>
      <c r="O13" s="84">
        <f t="shared" si="11"/>
        <v>8.1</v>
      </c>
      <c r="P13" s="84">
        <v>8.1</v>
      </c>
      <c r="Q13" s="84">
        <v>0</v>
      </c>
      <c r="R13" s="84">
        <v>0</v>
      </c>
      <c r="S13" s="84">
        <f>TabelaMatriz!$I$293</f>
        <v>26.939999999999998</v>
      </c>
      <c r="T13" s="186">
        <f t="shared" si="12"/>
        <v>310.18000000000006</v>
      </c>
    </row>
    <row r="14" spans="1:20" ht="15" customHeight="1">
      <c r="A14" s="180">
        <v>7020</v>
      </c>
      <c r="B14" s="92" t="s">
        <v>27</v>
      </c>
      <c r="C14" s="17">
        <v>30000.01</v>
      </c>
      <c r="D14" s="57"/>
      <c r="E14" s="57" t="s">
        <v>55</v>
      </c>
      <c r="F14" s="18">
        <v>50000</v>
      </c>
      <c r="G14" s="170">
        <f>TabelaMatriz!$I$19</f>
        <v>221.26</v>
      </c>
      <c r="H14" s="326">
        <f>TabelaMatriz!$I$6</f>
        <v>0.86</v>
      </c>
      <c r="I14" s="156">
        <f>+TabelaMatriz!$I$10</f>
        <v>12</v>
      </c>
      <c r="J14" s="156">
        <f t="shared" si="4"/>
        <v>234.12</v>
      </c>
      <c r="K14" s="84">
        <f t="shared" si="7"/>
        <v>4.42</v>
      </c>
      <c r="L14" s="84">
        <f t="shared" si="8"/>
        <v>46.82</v>
      </c>
      <c r="M14" s="84">
        <f t="shared" si="9"/>
        <v>11.7</v>
      </c>
      <c r="N14" s="93">
        <f t="shared" si="10"/>
        <v>11.7</v>
      </c>
      <c r="O14" s="84">
        <f t="shared" si="11"/>
        <v>9.36</v>
      </c>
      <c r="P14" s="84">
        <v>9.36</v>
      </c>
      <c r="Q14" s="84">
        <v>0</v>
      </c>
      <c r="R14" s="84">
        <v>0</v>
      </c>
      <c r="S14" s="84">
        <f>TabelaMatriz!$I$293</f>
        <v>26.939999999999998</v>
      </c>
      <c r="T14" s="186">
        <f t="shared" si="12"/>
        <v>354.42</v>
      </c>
    </row>
    <row r="15" spans="1:20" ht="15" customHeight="1">
      <c r="A15" s="180">
        <v>7021</v>
      </c>
      <c r="B15" s="92" t="s">
        <v>57</v>
      </c>
      <c r="C15" s="17">
        <v>50000.01</v>
      </c>
      <c r="D15" s="57"/>
      <c r="E15" s="57" t="s">
        <v>55</v>
      </c>
      <c r="F15" s="18">
        <v>70000</v>
      </c>
      <c r="G15" s="170">
        <f>TabelaMatriz!$I$20</f>
        <v>252.86</v>
      </c>
      <c r="H15" s="326">
        <f>TabelaMatriz!$I$6</f>
        <v>0.86</v>
      </c>
      <c r="I15" s="156">
        <f>+TabelaMatriz!$I$10</f>
        <v>12</v>
      </c>
      <c r="J15" s="156">
        <f t="shared" si="4"/>
        <v>265.72000000000003</v>
      </c>
      <c r="K15" s="84">
        <f t="shared" si="7"/>
        <v>5.05</v>
      </c>
      <c r="L15" s="84">
        <f t="shared" si="8"/>
        <v>53.14</v>
      </c>
      <c r="M15" s="84">
        <f t="shared" si="9"/>
        <v>13.28</v>
      </c>
      <c r="N15" s="93">
        <f t="shared" si="10"/>
        <v>13.28</v>
      </c>
      <c r="O15" s="84">
        <f t="shared" si="11"/>
        <v>10.62</v>
      </c>
      <c r="P15" s="84">
        <v>10.62</v>
      </c>
      <c r="Q15" s="84">
        <v>0</v>
      </c>
      <c r="R15" s="84">
        <v>0</v>
      </c>
      <c r="S15" s="84">
        <f>TabelaMatriz!$I$293</f>
        <v>26.939999999999998</v>
      </c>
      <c r="T15" s="186">
        <f t="shared" si="12"/>
        <v>398.65</v>
      </c>
    </row>
    <row r="16" spans="1:20" ht="15" customHeight="1">
      <c r="A16" s="180">
        <v>7022</v>
      </c>
      <c r="B16" s="92" t="s">
        <v>58</v>
      </c>
      <c r="C16" s="17">
        <v>70000.009999999995</v>
      </c>
      <c r="D16" s="57"/>
      <c r="E16" s="57" t="s">
        <v>55</v>
      </c>
      <c r="F16" s="18">
        <v>100000</v>
      </c>
      <c r="G16" s="170">
        <f>TabelaMatriz!$I$21</f>
        <v>300.29000000000002</v>
      </c>
      <c r="H16" s="326">
        <f>TabelaMatriz!$I$6</f>
        <v>0.86</v>
      </c>
      <c r="I16" s="156">
        <f>+TabelaMatriz!$I$10</f>
        <v>12</v>
      </c>
      <c r="J16" s="156">
        <f t="shared" si="4"/>
        <v>313.15000000000003</v>
      </c>
      <c r="K16" s="84">
        <f t="shared" si="7"/>
        <v>6</v>
      </c>
      <c r="L16" s="84">
        <f t="shared" si="8"/>
        <v>62.63</v>
      </c>
      <c r="M16" s="84">
        <f t="shared" si="9"/>
        <v>15.65</v>
      </c>
      <c r="N16" s="93">
        <f t="shared" si="10"/>
        <v>15.65</v>
      </c>
      <c r="O16" s="84">
        <f t="shared" si="11"/>
        <v>12.52</v>
      </c>
      <c r="P16" s="84">
        <v>12.52</v>
      </c>
      <c r="Q16" s="84">
        <v>0</v>
      </c>
      <c r="R16" s="84">
        <v>0</v>
      </c>
      <c r="S16" s="84">
        <f>TabelaMatriz!$I$293</f>
        <v>26.939999999999998</v>
      </c>
      <c r="T16" s="186">
        <f t="shared" si="12"/>
        <v>465.05999999999995</v>
      </c>
    </row>
    <row r="17" spans="1:20" ht="15" customHeight="1">
      <c r="A17" s="180">
        <v>7023</v>
      </c>
      <c r="B17" s="92" t="s">
        <v>59</v>
      </c>
      <c r="C17" s="521" t="s">
        <v>60</v>
      </c>
      <c r="D17" s="521"/>
      <c r="E17" s="521"/>
      <c r="F17" s="532"/>
      <c r="G17" s="170">
        <f>TabelaMatriz!$I$22</f>
        <v>395.15</v>
      </c>
      <c r="H17" s="326">
        <f>TabelaMatriz!$I$6</f>
        <v>0.86</v>
      </c>
      <c r="I17" s="156">
        <f>+TabelaMatriz!$I$10</f>
        <v>12</v>
      </c>
      <c r="J17" s="156">
        <f t="shared" si="4"/>
        <v>408.01</v>
      </c>
      <c r="K17" s="84">
        <f t="shared" si="7"/>
        <v>7.9</v>
      </c>
      <c r="L17" s="84">
        <f t="shared" si="8"/>
        <v>81.599999999999994</v>
      </c>
      <c r="M17" s="84">
        <f t="shared" si="9"/>
        <v>20.399999999999999</v>
      </c>
      <c r="N17" s="93">
        <f t="shared" si="10"/>
        <v>20.399999999999999</v>
      </c>
      <c r="O17" s="84">
        <f t="shared" si="11"/>
        <v>16.32</v>
      </c>
      <c r="P17" s="84">
        <v>16.32</v>
      </c>
      <c r="Q17" s="84">
        <v>0</v>
      </c>
      <c r="R17" s="84">
        <v>0</v>
      </c>
      <c r="S17" s="84">
        <f>TabelaMatriz!$I$293</f>
        <v>26.939999999999998</v>
      </c>
      <c r="T17" s="186">
        <f t="shared" si="12"/>
        <v>597.8900000000001</v>
      </c>
    </row>
    <row r="18" spans="1:20" ht="44.25" customHeight="1">
      <c r="A18" s="180">
        <v>7024</v>
      </c>
      <c r="B18" s="561" t="s">
        <v>244</v>
      </c>
      <c r="C18" s="521"/>
      <c r="D18" s="521"/>
      <c r="E18" s="521"/>
      <c r="F18" s="532"/>
      <c r="G18" s="170">
        <f>TabelaMatriz!$I$23</f>
        <v>158.04</v>
      </c>
      <c r="H18" s="326">
        <f>TabelaMatriz!$I$6</f>
        <v>0.86</v>
      </c>
      <c r="I18" s="196">
        <f>+TabelaMatriz!$I$10</f>
        <v>12</v>
      </c>
      <c r="J18" s="196">
        <f>SUM(G18:I18)</f>
        <v>170.9</v>
      </c>
      <c r="K18" s="121">
        <f t="shared" si="5"/>
        <v>3.16</v>
      </c>
      <c r="L18" s="121">
        <f t="shared" ref="L18:L28" si="13">TRUNC(J18*20%,2)</f>
        <v>34.18</v>
      </c>
      <c r="M18" s="121">
        <f t="shared" si="9"/>
        <v>8.5399999999999991</v>
      </c>
      <c r="N18" s="111">
        <f t="shared" si="6"/>
        <v>8.5399999999999991</v>
      </c>
      <c r="O18" s="121">
        <f t="shared" si="11"/>
        <v>6.83</v>
      </c>
      <c r="P18" s="34">
        <v>6.83</v>
      </c>
      <c r="Q18" s="121">
        <v>0</v>
      </c>
      <c r="R18" s="121">
        <v>0</v>
      </c>
      <c r="S18" s="121">
        <f>TabelaMatriz!$I$293</f>
        <v>26.939999999999998</v>
      </c>
      <c r="T18" s="171">
        <f t="shared" si="12"/>
        <v>265.92</v>
      </c>
    </row>
    <row r="19" spans="1:20" ht="44.25" customHeight="1">
      <c r="A19" s="180">
        <v>7025</v>
      </c>
      <c r="B19" s="561" t="s">
        <v>245</v>
      </c>
      <c r="C19" s="521"/>
      <c r="D19" s="521"/>
      <c r="E19" s="521"/>
      <c r="F19" s="532"/>
      <c r="G19" s="170">
        <f>TabelaMatriz!$I$23</f>
        <v>158.04</v>
      </c>
      <c r="H19" s="326">
        <f>TabelaMatriz!$I$6</f>
        <v>0.86</v>
      </c>
      <c r="I19" s="196">
        <f>+TabelaMatriz!$I$10</f>
        <v>12</v>
      </c>
      <c r="J19" s="156">
        <f t="shared" ref="J19:J28" si="14">SUM(G19:I19)</f>
        <v>170.9</v>
      </c>
      <c r="K19" s="121">
        <f>TRUNC(G19*2%,2)</f>
        <v>3.16</v>
      </c>
      <c r="L19" s="121">
        <f t="shared" si="13"/>
        <v>34.18</v>
      </c>
      <c r="M19" s="121">
        <f t="shared" si="9"/>
        <v>8.5399999999999991</v>
      </c>
      <c r="N19" s="111">
        <f>M19</f>
        <v>8.5399999999999991</v>
      </c>
      <c r="O19" s="121">
        <f t="shared" si="11"/>
        <v>6.83</v>
      </c>
      <c r="P19" s="34">
        <v>6.83</v>
      </c>
      <c r="Q19" s="121">
        <v>0</v>
      </c>
      <c r="R19" s="121">
        <v>0</v>
      </c>
      <c r="S19" s="121">
        <f>TabelaMatriz!$I$293</f>
        <v>26.939999999999998</v>
      </c>
      <c r="T19" s="171">
        <f t="shared" si="12"/>
        <v>265.92</v>
      </c>
    </row>
    <row r="20" spans="1:20" ht="30" customHeight="1">
      <c r="A20" s="180">
        <v>7003</v>
      </c>
      <c r="B20" s="556" t="s">
        <v>45</v>
      </c>
      <c r="C20" s="522"/>
      <c r="D20" s="522"/>
      <c r="E20" s="522"/>
      <c r="F20" s="523"/>
      <c r="G20" s="170">
        <f>TabelaMatriz!I24</f>
        <v>158.04</v>
      </c>
      <c r="H20" s="326">
        <f>TabelaMatriz!$I$6</f>
        <v>0.86</v>
      </c>
      <c r="I20" s="196">
        <f>+TabelaMatriz!$I$10</f>
        <v>12</v>
      </c>
      <c r="J20" s="156">
        <f t="shared" si="14"/>
        <v>170.9</v>
      </c>
      <c r="K20" s="34">
        <f t="shared" si="5"/>
        <v>3.16</v>
      </c>
      <c r="L20" s="34">
        <f t="shared" si="13"/>
        <v>34.18</v>
      </c>
      <c r="M20" s="34">
        <f t="shared" si="9"/>
        <v>8.5399999999999991</v>
      </c>
      <c r="N20" s="112">
        <f t="shared" si="6"/>
        <v>8.5399999999999991</v>
      </c>
      <c r="O20" s="34">
        <f t="shared" si="11"/>
        <v>6.83</v>
      </c>
      <c r="P20" s="34">
        <v>6.83</v>
      </c>
      <c r="Q20" s="34">
        <v>0</v>
      </c>
      <c r="R20" s="34">
        <v>0</v>
      </c>
      <c r="S20" s="34">
        <f>TabelaMatriz!$I$293</f>
        <v>26.939999999999998</v>
      </c>
      <c r="T20" s="187">
        <f t="shared" si="12"/>
        <v>265.92</v>
      </c>
    </row>
    <row r="21" spans="1:20" ht="31.5" customHeight="1">
      <c r="A21" s="181">
        <v>7026</v>
      </c>
      <c r="B21" s="556" t="s">
        <v>17</v>
      </c>
      <c r="C21" s="522"/>
      <c r="D21" s="522"/>
      <c r="E21" s="522"/>
      <c r="F21" s="523"/>
      <c r="G21" s="170">
        <f>TabelaMatriz!I25</f>
        <v>78.98</v>
      </c>
      <c r="H21" s="326">
        <f>TabelaMatriz!$I$6</f>
        <v>0.86</v>
      </c>
      <c r="I21" s="196">
        <f>+TabelaMatriz!$I$10</f>
        <v>12</v>
      </c>
      <c r="J21" s="156">
        <f t="shared" si="14"/>
        <v>91.84</v>
      </c>
      <c r="K21" s="34">
        <f t="shared" si="5"/>
        <v>1.57</v>
      </c>
      <c r="L21" s="34">
        <f t="shared" si="13"/>
        <v>18.36</v>
      </c>
      <c r="M21" s="34">
        <f t="shared" si="9"/>
        <v>4.59</v>
      </c>
      <c r="N21" s="112">
        <f t="shared" si="6"/>
        <v>4.59</v>
      </c>
      <c r="O21" s="34">
        <f t="shared" si="11"/>
        <v>3.67</v>
      </c>
      <c r="P21" s="34">
        <v>3.67</v>
      </c>
      <c r="Q21" s="34">
        <v>0</v>
      </c>
      <c r="R21" s="34">
        <v>0</v>
      </c>
      <c r="S21" s="34">
        <f>TabelaMatriz!$I$293</f>
        <v>26.939999999999998</v>
      </c>
      <c r="T21" s="187">
        <f t="shared" si="12"/>
        <v>155.22999999999999</v>
      </c>
    </row>
    <row r="22" spans="1:20" ht="20.25" customHeight="1">
      <c r="A22" s="182">
        <v>7027</v>
      </c>
      <c r="B22" s="555" t="s">
        <v>483</v>
      </c>
      <c r="C22" s="504"/>
      <c r="D22" s="504"/>
      <c r="E22" s="504"/>
      <c r="F22" s="519"/>
      <c r="G22" s="170">
        <v>78.98</v>
      </c>
      <c r="H22" s="326">
        <f>TabelaMatriz!$I$6</f>
        <v>0.86</v>
      </c>
      <c r="I22" s="196">
        <f>+TabelaMatriz!$I$10</f>
        <v>12</v>
      </c>
      <c r="J22" s="156">
        <f t="shared" si="14"/>
        <v>91.84</v>
      </c>
      <c r="K22" s="34">
        <f t="shared" si="5"/>
        <v>1.57</v>
      </c>
      <c r="L22" s="34">
        <f t="shared" si="13"/>
        <v>18.36</v>
      </c>
      <c r="M22" s="34">
        <f t="shared" si="9"/>
        <v>4.59</v>
      </c>
      <c r="N22" s="112">
        <f t="shared" si="6"/>
        <v>4.59</v>
      </c>
      <c r="O22" s="34">
        <f t="shared" si="11"/>
        <v>3.67</v>
      </c>
      <c r="P22" s="34">
        <v>3.67</v>
      </c>
      <c r="Q22" s="34">
        <v>0</v>
      </c>
      <c r="R22" s="34">
        <v>0</v>
      </c>
      <c r="S22" s="34">
        <f>TabelaMatriz!$I$293</f>
        <v>26.939999999999998</v>
      </c>
      <c r="T22" s="187">
        <f t="shared" si="12"/>
        <v>155.22999999999999</v>
      </c>
    </row>
    <row r="23" spans="1:20" ht="23.25" customHeight="1">
      <c r="A23" s="181">
        <v>7007</v>
      </c>
      <c r="B23" s="558" t="s">
        <v>47</v>
      </c>
      <c r="C23" s="559"/>
      <c r="D23" s="559"/>
      <c r="E23" s="559"/>
      <c r="F23" s="560"/>
      <c r="G23" s="170">
        <f>TabelaMatriz!I27</f>
        <v>78.98</v>
      </c>
      <c r="H23" s="326">
        <f>TabelaMatriz!$I$6</f>
        <v>0.86</v>
      </c>
      <c r="I23" s="195">
        <v>0</v>
      </c>
      <c r="J23" s="156">
        <f t="shared" si="14"/>
        <v>79.84</v>
      </c>
      <c r="K23" s="34">
        <f t="shared" si="5"/>
        <v>1.57</v>
      </c>
      <c r="L23" s="34">
        <f t="shared" si="13"/>
        <v>15.96</v>
      </c>
      <c r="M23" s="34">
        <f t="shared" si="9"/>
        <v>3.99</v>
      </c>
      <c r="N23" s="112">
        <f t="shared" si="6"/>
        <v>3.99</v>
      </c>
      <c r="O23" s="34">
        <f t="shared" si="11"/>
        <v>3.19</v>
      </c>
      <c r="P23" s="34">
        <v>3.19</v>
      </c>
      <c r="Q23" s="112" t="s">
        <v>34</v>
      </c>
      <c r="R23" s="112" t="s">
        <v>34</v>
      </c>
      <c r="S23" s="112" t="s">
        <v>34</v>
      </c>
      <c r="T23" s="187">
        <f t="shared" si="12"/>
        <v>111.72999999999999</v>
      </c>
    </row>
    <row r="24" spans="1:20" ht="16.5" customHeight="1">
      <c r="A24" s="181">
        <v>7028</v>
      </c>
      <c r="B24" s="561" t="s">
        <v>48</v>
      </c>
      <c r="C24" s="521"/>
      <c r="D24" s="521"/>
      <c r="E24" s="521"/>
      <c r="F24" s="532"/>
      <c r="G24" s="170">
        <f>TabelaMatriz!I28</f>
        <v>18.899999999999999</v>
      </c>
      <c r="H24" s="120">
        <v>0</v>
      </c>
      <c r="I24" s="195">
        <v>0</v>
      </c>
      <c r="J24" s="156">
        <f t="shared" si="14"/>
        <v>18.899999999999999</v>
      </c>
      <c r="K24" s="34">
        <f t="shared" si="5"/>
        <v>0.37</v>
      </c>
      <c r="L24" s="34">
        <f t="shared" si="13"/>
        <v>3.78</v>
      </c>
      <c r="M24" s="34">
        <f t="shared" si="9"/>
        <v>0.94</v>
      </c>
      <c r="N24" s="112">
        <f t="shared" si="6"/>
        <v>0.94</v>
      </c>
      <c r="O24" s="34">
        <f t="shared" si="11"/>
        <v>0.75</v>
      </c>
      <c r="P24" s="34">
        <v>0.75</v>
      </c>
      <c r="Q24" s="112" t="s">
        <v>34</v>
      </c>
      <c r="R24" s="112" t="s">
        <v>34</v>
      </c>
      <c r="S24" s="112" t="s">
        <v>34</v>
      </c>
      <c r="T24" s="187">
        <f t="shared" si="12"/>
        <v>26.430000000000003</v>
      </c>
    </row>
    <row r="25" spans="1:20" ht="27.75" customHeight="1">
      <c r="A25" s="182">
        <v>7029</v>
      </c>
      <c r="B25" s="561" t="s">
        <v>52</v>
      </c>
      <c r="C25" s="521"/>
      <c r="D25" s="521"/>
      <c r="E25" s="521"/>
      <c r="F25" s="532"/>
      <c r="G25" s="170">
        <f>TabelaMatriz!I29</f>
        <v>65.239999999999995</v>
      </c>
      <c r="H25" s="120">
        <v>0</v>
      </c>
      <c r="I25" s="195">
        <v>0</v>
      </c>
      <c r="J25" s="156">
        <f t="shared" si="14"/>
        <v>65.239999999999995</v>
      </c>
      <c r="K25" s="34">
        <f t="shared" si="5"/>
        <v>1.3</v>
      </c>
      <c r="L25" s="34">
        <f t="shared" si="13"/>
        <v>13.04</v>
      </c>
      <c r="M25" s="34">
        <f t="shared" si="9"/>
        <v>3.26</v>
      </c>
      <c r="N25" s="112">
        <f t="shared" si="6"/>
        <v>3.26</v>
      </c>
      <c r="O25" s="34">
        <f t="shared" si="11"/>
        <v>2.6</v>
      </c>
      <c r="P25" s="34">
        <v>2.6</v>
      </c>
      <c r="Q25" s="112" t="s">
        <v>34</v>
      </c>
      <c r="R25" s="112" t="s">
        <v>34</v>
      </c>
      <c r="S25" s="112" t="s">
        <v>34</v>
      </c>
      <c r="T25" s="187">
        <f t="shared" si="12"/>
        <v>91.299999999999983</v>
      </c>
    </row>
    <row r="26" spans="1:20" ht="14.25">
      <c r="A26" s="181"/>
      <c r="B26" s="556" t="s">
        <v>49</v>
      </c>
      <c r="C26" s="522"/>
      <c r="D26" s="522"/>
      <c r="E26" s="522"/>
      <c r="F26" s="523"/>
      <c r="G26" s="170">
        <f>TabelaMatriz!I30</f>
        <v>9.43</v>
      </c>
      <c r="H26" s="120">
        <v>0</v>
      </c>
      <c r="I26" s="195">
        <v>0</v>
      </c>
      <c r="J26" s="156">
        <f t="shared" si="14"/>
        <v>9.43</v>
      </c>
      <c r="K26" s="34">
        <f t="shared" si="5"/>
        <v>0.18</v>
      </c>
      <c r="L26" s="34">
        <f t="shared" si="13"/>
        <v>1.88</v>
      </c>
      <c r="M26" s="34">
        <f t="shared" si="9"/>
        <v>0.47</v>
      </c>
      <c r="N26" s="112">
        <f t="shared" si="6"/>
        <v>0.47</v>
      </c>
      <c r="O26" s="34">
        <f t="shared" si="11"/>
        <v>0.37</v>
      </c>
      <c r="P26" s="34">
        <v>0.37</v>
      </c>
      <c r="Q26" s="112" t="s">
        <v>34</v>
      </c>
      <c r="R26" s="112" t="s">
        <v>34</v>
      </c>
      <c r="S26" s="112" t="s">
        <v>34</v>
      </c>
      <c r="T26" s="187">
        <f t="shared" si="12"/>
        <v>13.169999999999998</v>
      </c>
    </row>
    <row r="27" spans="1:20" ht="14.25">
      <c r="A27" s="180"/>
      <c r="B27" s="556" t="s">
        <v>50</v>
      </c>
      <c r="C27" s="522"/>
      <c r="D27" s="522"/>
      <c r="E27" s="522"/>
      <c r="F27" s="523"/>
      <c r="G27" s="170">
        <f>TabelaMatriz!I31</f>
        <v>43.39</v>
      </c>
      <c r="H27" s="120">
        <v>0</v>
      </c>
      <c r="I27" s="195">
        <v>0</v>
      </c>
      <c r="J27" s="156">
        <f t="shared" si="14"/>
        <v>43.39</v>
      </c>
      <c r="K27" s="34">
        <f t="shared" si="5"/>
        <v>0.86</v>
      </c>
      <c r="L27" s="34">
        <f t="shared" si="13"/>
        <v>8.67</v>
      </c>
      <c r="M27" s="34">
        <f t="shared" si="9"/>
        <v>2.16</v>
      </c>
      <c r="N27" s="112">
        <f t="shared" si="6"/>
        <v>2.16</v>
      </c>
      <c r="O27" s="34">
        <f t="shared" si="11"/>
        <v>1.73</v>
      </c>
      <c r="P27" s="34">
        <v>1.73</v>
      </c>
      <c r="Q27" s="112" t="s">
        <v>34</v>
      </c>
      <c r="R27" s="112" t="s">
        <v>34</v>
      </c>
      <c r="S27" s="112" t="s">
        <v>34</v>
      </c>
      <c r="T27" s="187">
        <f t="shared" si="12"/>
        <v>60.699999999999989</v>
      </c>
    </row>
    <row r="28" spans="1:20" ht="25.5" customHeight="1" thickBot="1">
      <c r="A28" s="183"/>
      <c r="B28" s="562" t="s">
        <v>51</v>
      </c>
      <c r="C28" s="563"/>
      <c r="D28" s="563"/>
      <c r="E28" s="563"/>
      <c r="F28" s="563"/>
      <c r="G28" s="191">
        <f>TabelaMatriz!I32</f>
        <v>9.43</v>
      </c>
      <c r="H28" s="124" t="s">
        <v>248</v>
      </c>
      <c r="I28" s="197" t="s">
        <v>248</v>
      </c>
      <c r="J28" s="198">
        <f t="shared" si="14"/>
        <v>9.43</v>
      </c>
      <c r="K28" s="134">
        <f t="shared" si="5"/>
        <v>0.18</v>
      </c>
      <c r="L28" s="134">
        <f t="shared" si="13"/>
        <v>1.88</v>
      </c>
      <c r="M28" s="134">
        <f t="shared" si="9"/>
        <v>0.47</v>
      </c>
      <c r="N28" s="135">
        <f t="shared" si="6"/>
        <v>0.47</v>
      </c>
      <c r="O28" s="134">
        <f t="shared" si="11"/>
        <v>0.37</v>
      </c>
      <c r="P28" s="134">
        <v>0.37</v>
      </c>
      <c r="Q28" s="135" t="s">
        <v>34</v>
      </c>
      <c r="R28" s="135" t="s">
        <v>34</v>
      </c>
      <c r="S28" s="135" t="s">
        <v>34</v>
      </c>
      <c r="T28" s="188">
        <f t="shared" si="12"/>
        <v>13.169999999999998</v>
      </c>
    </row>
    <row r="30" spans="1:20">
      <c r="A30" s="177" t="s">
        <v>246</v>
      </c>
      <c r="B30" s="122"/>
      <c r="C30" s="122"/>
      <c r="D30" s="122"/>
      <c r="E30" s="122"/>
      <c r="F30" s="122"/>
      <c r="G30" s="177"/>
      <c r="H30" s="122"/>
      <c r="I30" s="177"/>
      <c r="J30" s="177"/>
      <c r="K30" s="123"/>
      <c r="L30" s="122"/>
      <c r="M30" s="122"/>
    </row>
    <row r="31" spans="1:20" ht="6" customHeight="1">
      <c r="A31" s="184"/>
      <c r="B31" s="122"/>
      <c r="C31" s="122"/>
      <c r="D31" s="122"/>
      <c r="E31" s="122"/>
      <c r="F31" s="122"/>
      <c r="G31" s="177"/>
      <c r="H31" s="122"/>
      <c r="I31" s="177"/>
      <c r="J31" s="177"/>
      <c r="K31" s="123"/>
      <c r="L31" s="122"/>
      <c r="M31" s="122"/>
    </row>
    <row r="32" spans="1:20" ht="12.75" customHeight="1">
      <c r="A32" s="557" t="s">
        <v>247</v>
      </c>
      <c r="B32" s="557"/>
      <c r="C32" s="557"/>
      <c r="D32" s="557"/>
      <c r="E32" s="557"/>
      <c r="F32" s="557"/>
      <c r="G32" s="557"/>
      <c r="H32" s="557"/>
      <c r="I32" s="557"/>
      <c r="J32" s="557"/>
      <c r="K32" s="557"/>
      <c r="L32" s="557"/>
      <c r="M32" s="557"/>
      <c r="N32" s="557"/>
      <c r="O32" s="557"/>
      <c r="P32" s="557"/>
      <c r="Q32" s="557"/>
      <c r="R32" s="557"/>
      <c r="S32" s="557"/>
      <c r="T32" s="557"/>
    </row>
    <row r="33" spans="1:20">
      <c r="A33" s="557"/>
      <c r="B33" s="557"/>
      <c r="C33" s="557"/>
      <c r="D33" s="557"/>
      <c r="E33" s="557"/>
      <c r="F33" s="557"/>
      <c r="G33" s="557"/>
      <c r="H33" s="557"/>
      <c r="I33" s="557"/>
      <c r="J33" s="557"/>
      <c r="K33" s="557"/>
      <c r="L33" s="557"/>
      <c r="M33" s="557"/>
      <c r="N33" s="557"/>
      <c r="O33" s="557"/>
      <c r="P33" s="557"/>
      <c r="Q33" s="557"/>
      <c r="R33" s="557"/>
      <c r="S33" s="557"/>
      <c r="T33" s="557"/>
    </row>
    <row r="34" spans="1:20" ht="46.5" customHeight="1">
      <c r="A34" s="557"/>
      <c r="B34" s="557"/>
      <c r="C34" s="557"/>
      <c r="D34" s="557"/>
      <c r="E34" s="557"/>
      <c r="F34" s="557"/>
      <c r="G34" s="557"/>
      <c r="H34" s="557"/>
      <c r="I34" s="557"/>
      <c r="J34" s="557"/>
      <c r="K34" s="557"/>
      <c r="L34" s="557"/>
      <c r="M34" s="557"/>
      <c r="N34" s="557"/>
      <c r="O34" s="557"/>
      <c r="P34" s="557"/>
      <c r="Q34" s="557"/>
      <c r="R34" s="557"/>
      <c r="S34" s="557"/>
      <c r="T34" s="557"/>
    </row>
  </sheetData>
  <mergeCells count="32">
    <mergeCell ref="B20:F20"/>
    <mergeCell ref="B18:F18"/>
    <mergeCell ref="B1:F1"/>
    <mergeCell ref="C10:F10"/>
    <mergeCell ref="A2:A3"/>
    <mergeCell ref="B2:F3"/>
    <mergeCell ref="B4:F4"/>
    <mergeCell ref="B19:F19"/>
    <mergeCell ref="B11:F11"/>
    <mergeCell ref="C17:F17"/>
    <mergeCell ref="G1:T1"/>
    <mergeCell ref="S2:S3"/>
    <mergeCell ref="M2:M3"/>
    <mergeCell ref="N2:N3"/>
    <mergeCell ref="J2:J3"/>
    <mergeCell ref="Q2:Q3"/>
    <mergeCell ref="T2:T3"/>
    <mergeCell ref="R2:R3"/>
    <mergeCell ref="K2:K3"/>
    <mergeCell ref="P2:P3"/>
    <mergeCell ref="O2:O3"/>
    <mergeCell ref="G2:G3"/>
    <mergeCell ref="L2:L3"/>
    <mergeCell ref="B22:F22"/>
    <mergeCell ref="B21:F21"/>
    <mergeCell ref="A32:T34"/>
    <mergeCell ref="B23:F23"/>
    <mergeCell ref="B24:F24"/>
    <mergeCell ref="B25:F25"/>
    <mergeCell ref="B27:F27"/>
    <mergeCell ref="B26:F26"/>
    <mergeCell ref="B28:F28"/>
  </mergeCells>
  <phoneticPr fontId="15" type="noConversion"/>
  <printOptions horizontalCentered="1"/>
  <pageMargins left="0.19685039370078741" right="0.19685039370078741" top="0.78740157480314965" bottom="0.39370078740157483" header="0" footer="0.31496062992125984"/>
  <pageSetup paperSize="9" scale="73" orientation="landscape" verticalDpi="1200" r:id="rId1"/>
  <headerFooter alignWithMargins="0"/>
</worksheet>
</file>

<file path=xl/worksheets/sheet3.xml><?xml version="1.0" encoding="utf-8"?>
<worksheet xmlns="http://schemas.openxmlformats.org/spreadsheetml/2006/main" xmlns:r="http://schemas.openxmlformats.org/officeDocument/2006/relationships">
  <sheetPr>
    <tabColor indexed="40"/>
  </sheetPr>
  <dimension ref="A1:X167"/>
  <sheetViews>
    <sheetView showGridLines="0" topLeftCell="A136" zoomScale="75" zoomScaleNormal="75" workbookViewId="0">
      <selection activeCell="G118" sqref="G118"/>
    </sheetView>
  </sheetViews>
  <sheetFormatPr defaultRowHeight="12"/>
  <cols>
    <col min="1" max="1" width="6.7109375" style="5" customWidth="1"/>
    <col min="2" max="2" width="12.5703125" style="5" customWidth="1"/>
    <col min="3" max="3" width="9.140625" style="5"/>
    <col min="4" max="4" width="6" style="5" customWidth="1"/>
    <col min="5" max="5" width="11.42578125" style="5" customWidth="1"/>
    <col min="6" max="6" width="13.140625" style="5" customWidth="1"/>
    <col min="7" max="7" width="9.7109375" style="5" customWidth="1"/>
    <col min="8" max="8" width="6.140625" style="5" customWidth="1"/>
    <col min="9" max="9" width="6.7109375" style="5" customWidth="1"/>
    <col min="10" max="10" width="5.85546875" style="5" customWidth="1"/>
    <col min="11" max="11" width="8.28515625" style="5" customWidth="1"/>
    <col min="12" max="12" width="8.7109375" style="5" customWidth="1"/>
    <col min="13" max="13" width="9" style="5" customWidth="1"/>
    <col min="14" max="14" width="8.7109375" style="5" customWidth="1"/>
    <col min="15" max="15" width="8.140625" style="5" customWidth="1"/>
    <col min="16" max="16" width="9.140625" style="5" customWidth="1"/>
    <col min="17" max="17" width="8" style="5" customWidth="1"/>
    <col min="18" max="18" width="9.85546875" style="5" customWidth="1"/>
    <col min="19" max="19" width="6.85546875" style="5" customWidth="1"/>
    <col min="20" max="20" width="6" style="5" customWidth="1"/>
    <col min="21" max="21" width="11" style="5" customWidth="1"/>
    <col min="22" max="22" width="18.42578125" style="5" customWidth="1"/>
    <col min="23" max="16384" width="9.140625" style="5"/>
  </cols>
  <sheetData>
    <row r="1" spans="1:24" ht="19.5" customHeight="1">
      <c r="B1" s="714" t="str">
        <f>TabelaMatriz!B1</f>
        <v>PORTARIA n.º 3210/2017</v>
      </c>
      <c r="C1" s="715"/>
      <c r="D1" s="715"/>
      <c r="E1" s="715"/>
      <c r="F1" s="715"/>
      <c r="G1" s="715"/>
      <c r="H1" s="716"/>
      <c r="I1" s="704" t="s">
        <v>477</v>
      </c>
      <c r="J1" s="705"/>
      <c r="K1" s="705"/>
      <c r="L1" s="705"/>
      <c r="M1" s="705"/>
      <c r="N1" s="705"/>
      <c r="O1" s="705"/>
      <c r="P1" s="705"/>
      <c r="Q1" s="705"/>
      <c r="R1" s="705"/>
      <c r="S1" s="705"/>
      <c r="T1" s="705"/>
      <c r="U1" s="706"/>
    </row>
    <row r="2" spans="1:24" s="8" customFormat="1" ht="3.75" customHeight="1" thickBot="1">
      <c r="B2" s="199"/>
      <c r="C2" s="261"/>
      <c r="D2" s="200"/>
      <c r="E2" s="261"/>
      <c r="F2" s="261"/>
      <c r="G2" s="143"/>
      <c r="H2" s="143"/>
      <c r="I2" s="143"/>
      <c r="J2" s="143"/>
      <c r="K2" s="143"/>
      <c r="L2" s="261"/>
      <c r="M2" s="261"/>
      <c r="N2" s="261"/>
      <c r="O2" s="261"/>
      <c r="P2" s="261"/>
      <c r="Q2" s="261"/>
      <c r="R2" s="152"/>
      <c r="S2" s="152"/>
      <c r="T2" s="261"/>
      <c r="U2" s="262"/>
    </row>
    <row r="3" spans="1:24" customFormat="1" ht="14.25" customHeight="1">
      <c r="A3" s="2"/>
      <c r="B3" s="701" t="s">
        <v>328</v>
      </c>
      <c r="C3" s="513"/>
      <c r="D3" s="513"/>
      <c r="E3" s="513"/>
      <c r="F3" s="513"/>
      <c r="G3" s="513"/>
      <c r="H3" s="229" t="s">
        <v>300</v>
      </c>
      <c r="I3" s="136" t="s">
        <v>239</v>
      </c>
      <c r="J3" s="240" t="s">
        <v>303</v>
      </c>
      <c r="K3" s="650" t="s">
        <v>241</v>
      </c>
      <c r="L3" s="311">
        <v>0.02</v>
      </c>
      <c r="M3" s="314">
        <v>0.2</v>
      </c>
      <c r="N3" s="311">
        <v>0.05</v>
      </c>
      <c r="O3" s="311">
        <v>0.05</v>
      </c>
      <c r="P3" s="311">
        <v>0.04</v>
      </c>
      <c r="Q3" s="639" t="s">
        <v>488</v>
      </c>
      <c r="R3" s="282" t="s">
        <v>347</v>
      </c>
      <c r="S3" s="282" t="s">
        <v>348</v>
      </c>
      <c r="T3" s="624" t="s">
        <v>426</v>
      </c>
      <c r="U3" s="622" t="s">
        <v>490</v>
      </c>
    </row>
    <row r="4" spans="1:24" customFormat="1" ht="22.5" customHeight="1" thickBot="1">
      <c r="A4" s="2"/>
      <c r="B4" s="718" t="s">
        <v>8</v>
      </c>
      <c r="C4" s="510"/>
      <c r="D4" s="510"/>
      <c r="E4" s="510"/>
      <c r="F4" s="510"/>
      <c r="G4" s="510"/>
      <c r="H4" s="242" t="s">
        <v>234</v>
      </c>
      <c r="I4" s="119" t="s">
        <v>240</v>
      </c>
      <c r="J4" s="239" t="s">
        <v>304</v>
      </c>
      <c r="K4" s="651"/>
      <c r="L4" s="313" t="s">
        <v>349</v>
      </c>
      <c r="M4" s="315" t="s">
        <v>350</v>
      </c>
      <c r="N4" s="313" t="s">
        <v>351</v>
      </c>
      <c r="O4" s="313" t="s">
        <v>352</v>
      </c>
      <c r="P4" s="313" t="s">
        <v>355</v>
      </c>
      <c r="Q4" s="640"/>
      <c r="R4" s="313" t="s">
        <v>353</v>
      </c>
      <c r="S4" s="313" t="s">
        <v>354</v>
      </c>
      <c r="T4" s="625"/>
      <c r="U4" s="707"/>
    </row>
    <row r="5" spans="1:24" customFormat="1" ht="15">
      <c r="A5" s="2"/>
      <c r="B5" s="626" t="s">
        <v>6</v>
      </c>
      <c r="C5" s="627"/>
      <c r="D5" s="627"/>
      <c r="E5" s="627"/>
      <c r="F5" s="628"/>
      <c r="G5" s="144" t="s">
        <v>4</v>
      </c>
      <c r="H5" s="141"/>
      <c r="I5" s="137"/>
      <c r="J5" s="137"/>
      <c r="K5" s="201"/>
      <c r="L5" s="1"/>
      <c r="M5" s="1"/>
      <c r="N5" s="1"/>
      <c r="O5" s="1"/>
      <c r="P5" s="1"/>
      <c r="Q5" s="1"/>
      <c r="R5" s="1"/>
      <c r="S5" s="1"/>
      <c r="T5" s="1"/>
      <c r="U5" s="176"/>
    </row>
    <row r="6" spans="1:24" customFormat="1" ht="14.25">
      <c r="A6" s="2"/>
      <c r="B6" s="599" t="s">
        <v>53</v>
      </c>
      <c r="C6" s="522"/>
      <c r="D6" s="522"/>
      <c r="E6" s="522"/>
      <c r="F6" s="523"/>
      <c r="G6" s="144"/>
      <c r="H6" s="141"/>
      <c r="I6" s="202"/>
      <c r="J6" s="202"/>
      <c r="K6" s="201"/>
      <c r="L6" s="1"/>
      <c r="M6" s="1"/>
      <c r="N6" s="1"/>
      <c r="O6" s="1"/>
      <c r="P6" s="1"/>
      <c r="Q6" s="1"/>
      <c r="R6" s="1"/>
      <c r="S6" s="1"/>
      <c r="T6" s="1"/>
      <c r="U6" s="176"/>
    </row>
    <row r="7" spans="1:24" customFormat="1" ht="15">
      <c r="A7" s="138">
        <v>5185</v>
      </c>
      <c r="B7" s="708" t="s">
        <v>62</v>
      </c>
      <c r="C7" s="709"/>
      <c r="D7" s="709"/>
      <c r="E7" s="709"/>
      <c r="F7" s="710"/>
      <c r="G7" s="236">
        <f>TabelaMatriz!I39</f>
        <v>130.5</v>
      </c>
      <c r="H7" s="149"/>
      <c r="I7" s="148" t="s">
        <v>34</v>
      </c>
      <c r="J7" s="149">
        <f>TabelaMatriz!$I$90</f>
        <v>21.71</v>
      </c>
      <c r="K7" s="149">
        <f>SUM(G7:J7)</f>
        <v>152.21</v>
      </c>
      <c r="L7" s="203">
        <f>TRUNC((G7+J7)*2%,2)</f>
        <v>3.04</v>
      </c>
      <c r="M7" s="203">
        <f>TRUNC(K7*20%,2)</f>
        <v>30.44</v>
      </c>
      <c r="N7" s="203">
        <f>TRUNC(K7*5%,2)</f>
        <v>7.61</v>
      </c>
      <c r="O7" s="203">
        <f>N7</f>
        <v>7.61</v>
      </c>
      <c r="P7" s="203">
        <f>TRUNC(K7*4%,2)</f>
        <v>6.08</v>
      </c>
      <c r="Q7" s="203">
        <f>TRUNC(K7*TabelaMatriz!$I$302,2)</f>
        <v>4.5599999999999996</v>
      </c>
      <c r="R7" s="203">
        <v>0</v>
      </c>
      <c r="S7" s="203">
        <v>0</v>
      </c>
      <c r="T7" s="203" t="s">
        <v>34</v>
      </c>
      <c r="U7" s="204">
        <f>SUM(K7:T7)</f>
        <v>211.55000000000004</v>
      </c>
    </row>
    <row r="8" spans="1:24" customFormat="1" ht="15">
      <c r="A8" s="2"/>
      <c r="B8" s="708" t="s">
        <v>322</v>
      </c>
      <c r="C8" s="709"/>
      <c r="D8" s="709"/>
      <c r="E8" s="709"/>
      <c r="F8" s="709"/>
      <c r="G8" s="710"/>
      <c r="H8" s="149"/>
      <c r="I8" s="149"/>
      <c r="J8" s="149"/>
      <c r="K8" s="149"/>
      <c r="L8" s="203"/>
      <c r="M8" s="203"/>
      <c r="N8" s="203"/>
      <c r="O8" s="203"/>
      <c r="P8" s="203"/>
      <c r="Q8" s="203"/>
      <c r="R8" s="203"/>
      <c r="S8" s="203"/>
      <c r="T8" s="84"/>
      <c r="U8" s="204"/>
    </row>
    <row r="9" spans="1:24" customFormat="1" ht="15">
      <c r="A9" s="2"/>
      <c r="B9" s="205" t="s">
        <v>25</v>
      </c>
      <c r="C9" s="20"/>
      <c r="D9" s="717"/>
      <c r="E9" s="717"/>
      <c r="F9" s="21" t="s">
        <v>26</v>
      </c>
      <c r="G9" s="236"/>
      <c r="H9" s="149"/>
      <c r="I9" s="149"/>
      <c r="J9" s="149"/>
      <c r="K9" s="149"/>
      <c r="L9" s="203"/>
      <c r="M9" s="203"/>
      <c r="N9" s="203"/>
      <c r="O9" s="203"/>
      <c r="P9" s="203"/>
      <c r="Q9" s="203"/>
      <c r="R9" s="203"/>
      <c r="S9" s="203"/>
      <c r="T9" s="84"/>
      <c r="U9" s="204"/>
    </row>
    <row r="10" spans="1:24" customFormat="1" ht="12.75">
      <c r="A10" s="138">
        <v>5186</v>
      </c>
      <c r="B10" s="206">
        <f>TabelaMatriz!B42</f>
        <v>0.01</v>
      </c>
      <c r="C10" s="61"/>
      <c r="D10" s="61"/>
      <c r="E10" s="61"/>
      <c r="F10" s="139">
        <f>TabelaMatriz!H42</f>
        <v>15000</v>
      </c>
      <c r="G10" s="237">
        <f>TabelaMatriz!I42</f>
        <v>187.63</v>
      </c>
      <c r="H10" s="203"/>
      <c r="I10" s="149" t="s">
        <v>34</v>
      </c>
      <c r="J10" s="149">
        <f>TabelaMatriz!$I$90</f>
        <v>21.71</v>
      </c>
      <c r="K10" s="149">
        <f t="shared" ref="K10:K17" si="0">SUM(G10:J10)</f>
        <v>209.34</v>
      </c>
      <c r="L10" s="203">
        <f t="shared" ref="L10:L17" si="1">TRUNC((G10+J10)*2%,2)</f>
        <v>4.18</v>
      </c>
      <c r="M10" s="203">
        <f t="shared" ref="M10:M17" si="2">TRUNC(K10*20%,2)</f>
        <v>41.86</v>
      </c>
      <c r="N10" s="203">
        <f t="shared" ref="N10:N17" si="3">TRUNC(K10*5%,2)</f>
        <v>10.46</v>
      </c>
      <c r="O10" s="203">
        <f t="shared" ref="O10:O17" si="4">N10</f>
        <v>10.46</v>
      </c>
      <c r="P10" s="203">
        <f t="shared" ref="P10:P17" si="5">TRUNC(K10*4%,2)</f>
        <v>8.3699999999999992</v>
      </c>
      <c r="Q10" s="203">
        <v>8.3699999999999992</v>
      </c>
      <c r="R10" s="203">
        <v>0</v>
      </c>
      <c r="S10" s="203">
        <v>0</v>
      </c>
      <c r="T10" s="93" t="s">
        <v>34</v>
      </c>
      <c r="U10" s="204">
        <f t="shared" ref="U10:U17" si="6">SUM(K10:T10)</f>
        <v>293.03999999999996</v>
      </c>
      <c r="V10" s="489">
        <v>2.61</v>
      </c>
      <c r="W10">
        <v>0.43</v>
      </c>
      <c r="X10">
        <f t="shared" ref="X10:X18" si="7">SUM(V10:W10)</f>
        <v>3.04</v>
      </c>
    </row>
    <row r="11" spans="1:24" customFormat="1" ht="12.75">
      <c r="A11" s="138">
        <v>5187</v>
      </c>
      <c r="B11" s="206">
        <f>TabelaMatriz!B43</f>
        <v>15000.01</v>
      </c>
      <c r="C11" s="93"/>
      <c r="D11" s="93"/>
      <c r="E11" s="93"/>
      <c r="F11" s="139">
        <f>TabelaMatriz!H43</f>
        <v>30000</v>
      </c>
      <c r="G11" s="237">
        <f>TabelaMatriz!I43</f>
        <v>310.02</v>
      </c>
      <c r="H11" s="203"/>
      <c r="I11" s="149" t="s">
        <v>34</v>
      </c>
      <c r="J11" s="149">
        <f>TabelaMatriz!$I$90</f>
        <v>21.71</v>
      </c>
      <c r="K11" s="149">
        <f t="shared" si="0"/>
        <v>331.72999999999996</v>
      </c>
      <c r="L11" s="203">
        <f t="shared" si="1"/>
        <v>6.63</v>
      </c>
      <c r="M11" s="203">
        <f t="shared" si="2"/>
        <v>66.34</v>
      </c>
      <c r="N11" s="203">
        <f t="shared" si="3"/>
        <v>16.579999999999998</v>
      </c>
      <c r="O11" s="203">
        <f t="shared" si="4"/>
        <v>16.579999999999998</v>
      </c>
      <c r="P11" s="203">
        <f t="shared" si="5"/>
        <v>13.26</v>
      </c>
      <c r="Q11" s="203">
        <v>13.26</v>
      </c>
      <c r="R11" s="203">
        <v>0</v>
      </c>
      <c r="S11" s="203">
        <v>0</v>
      </c>
      <c r="T11" s="93" t="s">
        <v>34</v>
      </c>
      <c r="U11" s="204">
        <f t="shared" si="6"/>
        <v>464.37999999999988</v>
      </c>
      <c r="V11">
        <v>3.75</v>
      </c>
      <c r="W11">
        <v>0.43</v>
      </c>
      <c r="X11">
        <f t="shared" si="7"/>
        <v>4.18</v>
      </c>
    </row>
    <row r="12" spans="1:24" customFormat="1" ht="12.75">
      <c r="A12" s="138">
        <v>5188</v>
      </c>
      <c r="B12" s="206">
        <f>TabelaMatriz!B44</f>
        <v>30000.01</v>
      </c>
      <c r="C12" s="93"/>
      <c r="D12" s="93"/>
      <c r="E12" s="93"/>
      <c r="F12" s="139">
        <f>TabelaMatriz!H44</f>
        <v>45000</v>
      </c>
      <c r="G12" s="237">
        <f>TabelaMatriz!I44</f>
        <v>432.45</v>
      </c>
      <c r="H12" s="203"/>
      <c r="I12" s="149" t="s">
        <v>34</v>
      </c>
      <c r="J12" s="149">
        <f>TabelaMatriz!$I$90</f>
        <v>21.71</v>
      </c>
      <c r="K12" s="149">
        <f t="shared" si="0"/>
        <v>454.15999999999997</v>
      </c>
      <c r="L12" s="203">
        <f t="shared" si="1"/>
        <v>9.08</v>
      </c>
      <c r="M12" s="203">
        <f t="shared" si="2"/>
        <v>90.83</v>
      </c>
      <c r="N12" s="203">
        <f t="shared" si="3"/>
        <v>22.7</v>
      </c>
      <c r="O12" s="203">
        <f t="shared" si="4"/>
        <v>22.7</v>
      </c>
      <c r="P12" s="203">
        <f t="shared" si="5"/>
        <v>18.16</v>
      </c>
      <c r="Q12" s="203">
        <v>18.16</v>
      </c>
      <c r="R12" s="203">
        <v>0</v>
      </c>
      <c r="S12" s="203">
        <v>0</v>
      </c>
      <c r="T12" s="93" t="s">
        <v>34</v>
      </c>
      <c r="U12" s="204">
        <f t="shared" si="6"/>
        <v>635.79</v>
      </c>
      <c r="V12">
        <v>6.2</v>
      </c>
      <c r="W12">
        <v>0.43</v>
      </c>
      <c r="X12">
        <f t="shared" si="7"/>
        <v>6.63</v>
      </c>
    </row>
    <row r="13" spans="1:24" customFormat="1" ht="12.75">
      <c r="A13" s="138">
        <v>5189</v>
      </c>
      <c r="B13" s="206">
        <f>TabelaMatriz!B45</f>
        <v>45000.01</v>
      </c>
      <c r="C13" s="93"/>
      <c r="D13" s="93"/>
      <c r="E13" s="93"/>
      <c r="F13" s="139">
        <f>TabelaMatriz!H45</f>
        <v>60000</v>
      </c>
      <c r="G13" s="237">
        <f>TabelaMatriz!I45</f>
        <v>530.35</v>
      </c>
      <c r="H13" s="203"/>
      <c r="I13" s="149" t="s">
        <v>34</v>
      </c>
      <c r="J13" s="149">
        <f>TabelaMatriz!$I$90</f>
        <v>21.71</v>
      </c>
      <c r="K13" s="149">
        <f t="shared" si="0"/>
        <v>552.06000000000006</v>
      </c>
      <c r="L13" s="203">
        <f t="shared" si="1"/>
        <v>11.04</v>
      </c>
      <c r="M13" s="203">
        <f t="shared" si="2"/>
        <v>110.41</v>
      </c>
      <c r="N13" s="203">
        <f t="shared" si="3"/>
        <v>27.6</v>
      </c>
      <c r="O13" s="203">
        <f t="shared" si="4"/>
        <v>27.6</v>
      </c>
      <c r="P13" s="203">
        <f t="shared" si="5"/>
        <v>22.08</v>
      </c>
      <c r="Q13" s="203">
        <v>22.08</v>
      </c>
      <c r="R13" s="203">
        <v>0</v>
      </c>
      <c r="S13" s="203">
        <v>0</v>
      </c>
      <c r="T13" s="93" t="s">
        <v>34</v>
      </c>
      <c r="U13" s="204">
        <f t="shared" si="6"/>
        <v>772.87000000000012</v>
      </c>
      <c r="V13">
        <v>8.64</v>
      </c>
      <c r="W13">
        <v>0.43</v>
      </c>
      <c r="X13">
        <f t="shared" si="7"/>
        <v>9.07</v>
      </c>
    </row>
    <row r="14" spans="1:24" customFormat="1" ht="12.75">
      <c r="A14" s="138">
        <v>5190</v>
      </c>
      <c r="B14" s="206">
        <f>TabelaMatriz!B46</f>
        <v>60000.01</v>
      </c>
      <c r="C14" s="93"/>
      <c r="D14" s="93"/>
      <c r="E14" s="93"/>
      <c r="F14" s="47">
        <v>80000</v>
      </c>
      <c r="G14" s="237">
        <f>TabelaMatriz!I46</f>
        <v>940</v>
      </c>
      <c r="H14" s="203"/>
      <c r="I14" s="149" t="s">
        <v>34</v>
      </c>
      <c r="J14" s="149">
        <f>TabelaMatriz!$I$90</f>
        <v>21.71</v>
      </c>
      <c r="K14" s="149">
        <f t="shared" si="0"/>
        <v>961.71</v>
      </c>
      <c r="L14" s="203">
        <f t="shared" si="1"/>
        <v>19.23</v>
      </c>
      <c r="M14" s="203">
        <f t="shared" si="2"/>
        <v>192.34</v>
      </c>
      <c r="N14" s="203">
        <f t="shared" si="3"/>
        <v>48.08</v>
      </c>
      <c r="O14" s="203">
        <f t="shared" si="4"/>
        <v>48.08</v>
      </c>
      <c r="P14" s="203">
        <f t="shared" si="5"/>
        <v>38.46</v>
      </c>
      <c r="Q14" s="203">
        <v>38.46</v>
      </c>
      <c r="R14" s="203">
        <v>0</v>
      </c>
      <c r="S14" s="203">
        <v>0</v>
      </c>
      <c r="T14" s="93" t="s">
        <v>34</v>
      </c>
      <c r="U14" s="204">
        <f t="shared" si="6"/>
        <v>1346.36</v>
      </c>
      <c r="V14">
        <v>10.6</v>
      </c>
      <c r="W14">
        <v>0.43</v>
      </c>
      <c r="X14">
        <f t="shared" si="7"/>
        <v>11.03</v>
      </c>
    </row>
    <row r="15" spans="1:24" customFormat="1" ht="12.75">
      <c r="A15" s="138">
        <v>5191</v>
      </c>
      <c r="B15" s="207">
        <v>80000.009999999995</v>
      </c>
      <c r="C15" s="93"/>
      <c r="D15" s="93"/>
      <c r="E15" s="93"/>
      <c r="F15" s="47">
        <v>100000</v>
      </c>
      <c r="G15" s="237">
        <f>TabelaMatriz!I47</f>
        <v>1109.73</v>
      </c>
      <c r="H15" s="203"/>
      <c r="I15" s="149" t="s">
        <v>34</v>
      </c>
      <c r="J15" s="149">
        <f>TabelaMatriz!$I$90</f>
        <v>21.71</v>
      </c>
      <c r="K15" s="149">
        <f t="shared" si="0"/>
        <v>1131.44</v>
      </c>
      <c r="L15" s="203">
        <f t="shared" si="1"/>
        <v>22.62</v>
      </c>
      <c r="M15" s="203">
        <f t="shared" si="2"/>
        <v>226.28</v>
      </c>
      <c r="N15" s="203">
        <f t="shared" si="3"/>
        <v>56.57</v>
      </c>
      <c r="O15" s="203">
        <f t="shared" si="4"/>
        <v>56.57</v>
      </c>
      <c r="P15" s="203">
        <f t="shared" si="5"/>
        <v>45.25</v>
      </c>
      <c r="Q15" s="203">
        <v>45.25</v>
      </c>
      <c r="R15" s="203">
        <v>0</v>
      </c>
      <c r="S15" s="203">
        <v>0</v>
      </c>
      <c r="T15" s="93" t="s">
        <v>34</v>
      </c>
      <c r="U15" s="204">
        <f t="shared" si="6"/>
        <v>1583.9799999999998</v>
      </c>
      <c r="V15">
        <v>18.8</v>
      </c>
      <c r="W15">
        <v>0.43</v>
      </c>
      <c r="X15">
        <f t="shared" si="7"/>
        <v>19.23</v>
      </c>
    </row>
    <row r="16" spans="1:24" customFormat="1" ht="12.75">
      <c r="A16" s="138">
        <v>5192</v>
      </c>
      <c r="B16" s="207">
        <v>100000.01</v>
      </c>
      <c r="C16" s="93"/>
      <c r="D16" s="93"/>
      <c r="E16" s="93"/>
      <c r="F16" s="47">
        <v>200000</v>
      </c>
      <c r="G16" s="237">
        <f>TabelaMatriz!I48</f>
        <v>1501.39</v>
      </c>
      <c r="H16" s="203"/>
      <c r="I16" s="149" t="s">
        <v>34</v>
      </c>
      <c r="J16" s="149">
        <f>TabelaMatriz!$I$90</f>
        <v>21.71</v>
      </c>
      <c r="K16" s="149">
        <f t="shared" si="0"/>
        <v>1523.1000000000001</v>
      </c>
      <c r="L16" s="203">
        <f t="shared" si="1"/>
        <v>30.46</v>
      </c>
      <c r="M16" s="203">
        <f t="shared" si="2"/>
        <v>304.62</v>
      </c>
      <c r="N16" s="203">
        <f t="shared" si="3"/>
        <v>76.150000000000006</v>
      </c>
      <c r="O16" s="203">
        <f t="shared" si="4"/>
        <v>76.150000000000006</v>
      </c>
      <c r="P16" s="203">
        <f t="shared" si="5"/>
        <v>60.92</v>
      </c>
      <c r="Q16" s="203">
        <v>60.92</v>
      </c>
      <c r="R16" s="203">
        <v>0</v>
      </c>
      <c r="S16" s="203">
        <v>0</v>
      </c>
      <c r="T16" s="93" t="s">
        <v>34</v>
      </c>
      <c r="U16" s="204">
        <f t="shared" si="6"/>
        <v>2132.3200000000006</v>
      </c>
      <c r="V16">
        <v>22.19</v>
      </c>
      <c r="W16">
        <v>0.43</v>
      </c>
      <c r="X16">
        <f t="shared" si="7"/>
        <v>22.62</v>
      </c>
    </row>
    <row r="17" spans="1:24" customFormat="1" ht="12.75">
      <c r="A17" s="138">
        <v>5193</v>
      </c>
      <c r="B17" s="207">
        <v>200000.01</v>
      </c>
      <c r="C17" s="93"/>
      <c r="D17" s="93"/>
      <c r="E17" s="93"/>
      <c r="F17" s="47">
        <v>400000</v>
      </c>
      <c r="G17" s="237">
        <f>TabelaMatriz!I49</f>
        <v>1615.66</v>
      </c>
      <c r="H17" s="203"/>
      <c r="I17" s="149" t="s">
        <v>34</v>
      </c>
      <c r="J17" s="149">
        <f>TabelaMatriz!$I$90</f>
        <v>21.71</v>
      </c>
      <c r="K17" s="149">
        <f t="shared" si="0"/>
        <v>1637.3700000000001</v>
      </c>
      <c r="L17" s="203">
        <f t="shared" si="1"/>
        <v>32.74</v>
      </c>
      <c r="M17" s="203">
        <f t="shared" si="2"/>
        <v>327.47000000000003</v>
      </c>
      <c r="N17" s="203">
        <f t="shared" si="3"/>
        <v>81.86</v>
      </c>
      <c r="O17" s="203">
        <f t="shared" si="4"/>
        <v>81.86</v>
      </c>
      <c r="P17" s="203">
        <f t="shared" si="5"/>
        <v>65.489999999999995</v>
      </c>
      <c r="Q17" s="203">
        <v>65.489999999999995</v>
      </c>
      <c r="R17" s="203">
        <v>0</v>
      </c>
      <c r="S17" s="203">
        <v>0</v>
      </c>
      <c r="T17" s="93" t="s">
        <v>34</v>
      </c>
      <c r="U17" s="204">
        <f t="shared" si="6"/>
        <v>2292.2799999999997</v>
      </c>
      <c r="V17">
        <v>30.02</v>
      </c>
      <c r="W17">
        <v>0.43</v>
      </c>
      <c r="X17">
        <f t="shared" si="7"/>
        <v>30.45</v>
      </c>
    </row>
    <row r="18" spans="1:24" customFormat="1" ht="12.75">
      <c r="A18" s="138">
        <v>5194</v>
      </c>
      <c r="B18" s="210" t="s">
        <v>309</v>
      </c>
      <c r="C18" s="93"/>
      <c r="D18" s="93"/>
      <c r="E18" s="93"/>
      <c r="F18" s="93"/>
      <c r="G18" s="237"/>
      <c r="H18" s="203"/>
      <c r="I18" s="149"/>
      <c r="J18" s="149"/>
      <c r="K18" s="149"/>
      <c r="L18" s="203"/>
      <c r="M18" s="203"/>
      <c r="N18" s="203"/>
      <c r="O18" s="203"/>
      <c r="P18" s="203"/>
      <c r="Q18" s="203"/>
      <c r="R18" s="203"/>
      <c r="S18" s="203"/>
      <c r="T18" s="93"/>
      <c r="U18" s="204"/>
      <c r="V18">
        <v>32.21</v>
      </c>
      <c r="W18">
        <v>0.43</v>
      </c>
      <c r="X18">
        <f t="shared" si="7"/>
        <v>32.64</v>
      </c>
    </row>
    <row r="19" spans="1:24" customFormat="1" ht="2.25" customHeight="1">
      <c r="A19" s="138"/>
      <c r="B19" s="208"/>
      <c r="C19" s="201"/>
      <c r="D19" s="201"/>
      <c r="E19" s="201"/>
      <c r="F19" s="201"/>
      <c r="G19" s="237"/>
      <c r="H19" s="203"/>
      <c r="I19" s="201"/>
      <c r="J19" s="201"/>
      <c r="K19" s="149"/>
      <c r="L19" s="203"/>
      <c r="M19" s="203"/>
      <c r="N19" s="203"/>
      <c r="O19" s="201"/>
      <c r="P19" s="203"/>
      <c r="Q19" s="203"/>
      <c r="R19" s="201"/>
      <c r="S19" s="201"/>
      <c r="T19" s="201"/>
      <c r="U19" s="204"/>
    </row>
    <row r="20" spans="1:24" customFormat="1" ht="16.5" customHeight="1">
      <c r="A20" s="138"/>
      <c r="B20" s="684" t="s">
        <v>345</v>
      </c>
      <c r="C20" s="685"/>
      <c r="D20" s="685"/>
      <c r="E20" s="685"/>
      <c r="F20" s="686"/>
      <c r="G20" s="237">
        <f>TabelaMatriz!I51</f>
        <v>144.75</v>
      </c>
      <c r="H20" s="203"/>
      <c r="I20" s="148" t="s">
        <v>34</v>
      </c>
      <c r="J20" s="149"/>
      <c r="K20" s="149">
        <f>SUM(G20:J20)</f>
        <v>144.75</v>
      </c>
      <c r="L20" s="203">
        <f>TRUNC((G20+J20)*2%,2)</f>
        <v>2.89</v>
      </c>
      <c r="M20" s="203">
        <f>TRUNC(K20*20%,2)</f>
        <v>28.95</v>
      </c>
      <c r="N20" s="203">
        <f>TRUNC(K20*5%,2)</f>
        <v>7.23</v>
      </c>
      <c r="O20" s="203">
        <f>N20</f>
        <v>7.23</v>
      </c>
      <c r="P20" s="203">
        <f>TRUNC(K20*4%,2)</f>
        <v>5.79</v>
      </c>
      <c r="Q20" s="203">
        <v>5.79</v>
      </c>
      <c r="R20" s="203" t="s">
        <v>34</v>
      </c>
      <c r="S20" s="203" t="s">
        <v>34</v>
      </c>
      <c r="T20" s="112" t="s">
        <v>34</v>
      </c>
      <c r="U20" s="204">
        <f>SUM(K20:T20)</f>
        <v>202.62999999999994</v>
      </c>
    </row>
    <row r="21" spans="1:24" customFormat="1" ht="11.25" customHeight="1">
      <c r="A21" s="2"/>
      <c r="B21" s="210" t="str">
        <f>TabelaMatriz!B52</f>
        <v>Obs. 2 - O valor máximo dos emolumentos não pode ultrapassar o valor da Taxa Judiciária Máxima, art 1º §3º</v>
      </c>
      <c r="C21" s="213"/>
      <c r="D21" s="213"/>
      <c r="E21" s="213"/>
      <c r="F21" s="213"/>
      <c r="G21" s="149"/>
      <c r="H21" s="149"/>
      <c r="I21" s="148"/>
      <c r="J21" s="149"/>
      <c r="K21" s="149"/>
      <c r="L21" s="203"/>
      <c r="M21" s="203"/>
      <c r="N21" s="203"/>
      <c r="O21" s="203"/>
      <c r="P21" s="203"/>
      <c r="Q21" s="203"/>
      <c r="R21" s="203"/>
      <c r="S21" s="203"/>
      <c r="T21" s="112"/>
      <c r="U21" s="204"/>
    </row>
    <row r="22" spans="1:24" customFormat="1" ht="6.75" customHeight="1" thickBot="1">
      <c r="A22" s="297"/>
      <c r="B22" s="294"/>
      <c r="C22" s="295"/>
      <c r="D22" s="295"/>
      <c r="E22" s="295"/>
      <c r="F22" s="295"/>
      <c r="G22" s="287"/>
      <c r="H22" s="287"/>
      <c r="I22" s="284"/>
      <c r="J22" s="284"/>
      <c r="K22" s="652"/>
      <c r="L22" s="652"/>
      <c r="M22" s="284"/>
      <c r="N22" s="284"/>
      <c r="O22" s="284"/>
      <c r="P22" s="284"/>
      <c r="Q22" s="284"/>
      <c r="R22" s="284"/>
      <c r="S22" s="284"/>
      <c r="T22" s="296"/>
      <c r="U22" s="285"/>
    </row>
    <row r="23" spans="1:24" customFormat="1" ht="30" customHeight="1" thickBot="1">
      <c r="A23" s="2"/>
      <c r="B23" s="711" t="s">
        <v>466</v>
      </c>
      <c r="C23" s="712"/>
      <c r="D23" s="712"/>
      <c r="E23" s="712"/>
      <c r="F23" s="712"/>
      <c r="G23" s="713"/>
      <c r="H23" s="149"/>
      <c r="I23" s="149"/>
      <c r="J23" s="149"/>
      <c r="K23" s="149"/>
      <c r="L23" s="203"/>
      <c r="M23" s="203"/>
      <c r="N23" s="203"/>
      <c r="O23" s="203"/>
      <c r="P23" s="203"/>
      <c r="Q23" s="203"/>
      <c r="R23" s="203"/>
      <c r="S23" s="203"/>
      <c r="T23" s="209"/>
      <c r="U23" s="204"/>
    </row>
    <row r="24" spans="1:24" customFormat="1" ht="12.75" customHeight="1">
      <c r="A24" s="138"/>
      <c r="B24" s="205" t="s">
        <v>25</v>
      </c>
      <c r="C24" s="20"/>
      <c r="D24" s="20"/>
      <c r="E24" s="20"/>
      <c r="F24" s="20" t="s">
        <v>26</v>
      </c>
      <c r="G24" s="149"/>
      <c r="H24" s="149"/>
      <c r="I24" s="141"/>
      <c r="J24" s="141"/>
      <c r="K24" s="149"/>
      <c r="L24" s="203"/>
      <c r="M24" s="203"/>
      <c r="N24" s="203"/>
      <c r="O24" s="203"/>
      <c r="P24" s="203"/>
      <c r="Q24" s="203"/>
      <c r="R24" s="203"/>
      <c r="S24" s="203"/>
      <c r="T24" s="209"/>
      <c r="U24" s="204"/>
    </row>
    <row r="25" spans="1:24" customFormat="1" ht="12.75">
      <c r="A25" s="138">
        <v>5186</v>
      </c>
      <c r="B25" s="206">
        <f t="shared" ref="B25:B32" si="8">B10</f>
        <v>0.01</v>
      </c>
      <c r="C25" s="61"/>
      <c r="D25" s="61"/>
      <c r="E25" s="61"/>
      <c r="F25" s="139">
        <f t="shared" ref="F25:G29" si="9">F10</f>
        <v>15000</v>
      </c>
      <c r="G25" s="237">
        <f t="shared" si="9"/>
        <v>187.63</v>
      </c>
      <c r="H25" s="203">
        <f>TabelaMatriz!$I$9</f>
        <v>10.35</v>
      </c>
      <c r="I25" s="149">
        <f>TabelaMatriz!$I$10*2</f>
        <v>24</v>
      </c>
      <c r="J25" s="149">
        <f>TabelaMatriz!$I$90</f>
        <v>21.71</v>
      </c>
      <c r="K25" s="149">
        <f t="shared" ref="K25:K32" si="10">SUM(G25:J25)</f>
        <v>243.69</v>
      </c>
      <c r="L25" s="203">
        <f t="shared" ref="L25:L32" si="11">TRUNC((G25+J25)*2%,2)</f>
        <v>4.18</v>
      </c>
      <c r="M25" s="203">
        <f t="shared" ref="M25:M32" si="12">TRUNC(K25*20%,2)</f>
        <v>48.73</v>
      </c>
      <c r="N25" s="203">
        <f t="shared" ref="N25:N32" si="13">TRUNC(K25*5%,2)</f>
        <v>12.18</v>
      </c>
      <c r="O25" s="203">
        <f t="shared" ref="O25:O32" si="14">N25</f>
        <v>12.18</v>
      </c>
      <c r="P25" s="203">
        <f t="shared" ref="P25:P32" si="15">TRUNC(K25*4%,2)</f>
        <v>9.74</v>
      </c>
      <c r="Q25" s="203">
        <v>9.74</v>
      </c>
      <c r="R25" s="203">
        <v>0</v>
      </c>
      <c r="S25" s="203">
        <v>0</v>
      </c>
      <c r="T25" s="263">
        <f>TabelaMatriz!$I$293</f>
        <v>26.939999999999998</v>
      </c>
      <c r="U25" s="204">
        <f t="shared" ref="U25:U32" si="16">SUM(K25:T25)</f>
        <v>367.38000000000005</v>
      </c>
    </row>
    <row r="26" spans="1:24" customFormat="1" ht="12.75">
      <c r="A26" s="138">
        <v>5187</v>
      </c>
      <c r="B26" s="206">
        <f t="shared" si="8"/>
        <v>15000.01</v>
      </c>
      <c r="C26" s="61"/>
      <c r="D26" s="61"/>
      <c r="E26" s="61"/>
      <c r="F26" s="139">
        <f t="shared" si="9"/>
        <v>30000</v>
      </c>
      <c r="G26" s="237">
        <f t="shared" si="9"/>
        <v>310.02</v>
      </c>
      <c r="H26" s="203">
        <f>TabelaMatriz!$I$9</f>
        <v>10.35</v>
      </c>
      <c r="I26" s="149">
        <f>TabelaMatriz!$I$10*2</f>
        <v>24</v>
      </c>
      <c r="J26" s="149">
        <f>TabelaMatriz!$I$90</f>
        <v>21.71</v>
      </c>
      <c r="K26" s="149">
        <f t="shared" si="10"/>
        <v>366.08</v>
      </c>
      <c r="L26" s="203">
        <f t="shared" si="11"/>
        <v>6.63</v>
      </c>
      <c r="M26" s="203">
        <f t="shared" si="12"/>
        <v>73.209999999999994</v>
      </c>
      <c r="N26" s="203">
        <f t="shared" si="13"/>
        <v>18.3</v>
      </c>
      <c r="O26" s="203">
        <f t="shared" si="14"/>
        <v>18.3</v>
      </c>
      <c r="P26" s="203">
        <f t="shared" si="15"/>
        <v>14.64</v>
      </c>
      <c r="Q26" s="203">
        <v>14.64</v>
      </c>
      <c r="R26" s="203">
        <v>0</v>
      </c>
      <c r="S26" s="203">
        <v>0</v>
      </c>
      <c r="T26" s="263">
        <f>TabelaMatriz!$I$293</f>
        <v>26.939999999999998</v>
      </c>
      <c r="U26" s="204">
        <f t="shared" si="16"/>
        <v>538.74</v>
      </c>
    </row>
    <row r="27" spans="1:24" customFormat="1" ht="12.75">
      <c r="A27" s="138">
        <v>5188</v>
      </c>
      <c r="B27" s="206">
        <f t="shared" si="8"/>
        <v>30000.01</v>
      </c>
      <c r="C27" s="61"/>
      <c r="D27" s="61"/>
      <c r="E27" s="61"/>
      <c r="F27" s="139">
        <f t="shared" si="9"/>
        <v>45000</v>
      </c>
      <c r="G27" s="237">
        <f t="shared" si="9"/>
        <v>432.45</v>
      </c>
      <c r="H27" s="203">
        <f>TabelaMatriz!$I$9</f>
        <v>10.35</v>
      </c>
      <c r="I27" s="149">
        <f>TabelaMatriz!$I$10*2</f>
        <v>24</v>
      </c>
      <c r="J27" s="149">
        <f>TabelaMatriz!$I$90</f>
        <v>21.71</v>
      </c>
      <c r="K27" s="149">
        <f t="shared" si="10"/>
        <v>488.51</v>
      </c>
      <c r="L27" s="203">
        <f t="shared" si="11"/>
        <v>9.08</v>
      </c>
      <c r="M27" s="203">
        <f t="shared" si="12"/>
        <v>97.7</v>
      </c>
      <c r="N27" s="203">
        <f t="shared" si="13"/>
        <v>24.42</v>
      </c>
      <c r="O27" s="203">
        <f t="shared" si="14"/>
        <v>24.42</v>
      </c>
      <c r="P27" s="203">
        <f t="shared" si="15"/>
        <v>19.54</v>
      </c>
      <c r="Q27" s="203">
        <v>19.54</v>
      </c>
      <c r="R27" s="203">
        <v>0</v>
      </c>
      <c r="S27" s="203">
        <v>0</v>
      </c>
      <c r="T27" s="263">
        <f>TabelaMatriz!$I$293</f>
        <v>26.939999999999998</v>
      </c>
      <c r="U27" s="204">
        <f t="shared" si="16"/>
        <v>710.14999999999986</v>
      </c>
    </row>
    <row r="28" spans="1:24" customFormat="1" ht="12.75" customHeight="1">
      <c r="A28" s="138">
        <v>5189</v>
      </c>
      <c r="B28" s="206">
        <f t="shared" si="8"/>
        <v>45000.01</v>
      </c>
      <c r="C28" s="61"/>
      <c r="D28" s="61"/>
      <c r="E28" s="61"/>
      <c r="F28" s="139">
        <f t="shared" si="9"/>
        <v>60000</v>
      </c>
      <c r="G28" s="237">
        <f t="shared" si="9"/>
        <v>530.35</v>
      </c>
      <c r="H28" s="203">
        <f>TabelaMatriz!$I$9</f>
        <v>10.35</v>
      </c>
      <c r="I28" s="149">
        <f>TabelaMatriz!$I$10*2</f>
        <v>24</v>
      </c>
      <c r="J28" s="149">
        <f>TabelaMatriz!$I$90</f>
        <v>21.71</v>
      </c>
      <c r="K28" s="149">
        <f t="shared" si="10"/>
        <v>586.41000000000008</v>
      </c>
      <c r="L28" s="203">
        <f t="shared" si="11"/>
        <v>11.04</v>
      </c>
      <c r="M28" s="203">
        <f t="shared" si="12"/>
        <v>117.28</v>
      </c>
      <c r="N28" s="203">
        <f t="shared" si="13"/>
        <v>29.32</v>
      </c>
      <c r="O28" s="203">
        <f t="shared" si="14"/>
        <v>29.32</v>
      </c>
      <c r="P28" s="203">
        <f t="shared" si="15"/>
        <v>23.45</v>
      </c>
      <c r="Q28" s="203">
        <v>23.45</v>
      </c>
      <c r="R28" s="203">
        <v>0</v>
      </c>
      <c r="S28" s="203">
        <v>0</v>
      </c>
      <c r="T28" s="263">
        <f>TabelaMatriz!$I$293</f>
        <v>26.939999999999998</v>
      </c>
      <c r="U28" s="204">
        <f t="shared" si="16"/>
        <v>847.21000000000026</v>
      </c>
    </row>
    <row r="29" spans="1:24" customFormat="1" ht="13.5" customHeight="1">
      <c r="A29" s="138">
        <v>5190</v>
      </c>
      <c r="B29" s="206">
        <f t="shared" si="8"/>
        <v>60000.01</v>
      </c>
      <c r="C29" s="61"/>
      <c r="D29" s="61"/>
      <c r="E29" s="61"/>
      <c r="F29" s="139">
        <f t="shared" si="9"/>
        <v>80000</v>
      </c>
      <c r="G29" s="237">
        <f t="shared" si="9"/>
        <v>940</v>
      </c>
      <c r="H29" s="203">
        <f>TabelaMatriz!$I$9</f>
        <v>10.35</v>
      </c>
      <c r="I29" s="149">
        <f>TabelaMatriz!$I$10*2</f>
        <v>24</v>
      </c>
      <c r="J29" s="149">
        <f>TabelaMatriz!$I$90</f>
        <v>21.71</v>
      </c>
      <c r="K29" s="149">
        <f t="shared" si="10"/>
        <v>996.06000000000006</v>
      </c>
      <c r="L29" s="203">
        <f t="shared" si="11"/>
        <v>19.23</v>
      </c>
      <c r="M29" s="203">
        <f t="shared" si="12"/>
        <v>199.21</v>
      </c>
      <c r="N29" s="203">
        <f t="shared" si="13"/>
        <v>49.8</v>
      </c>
      <c r="O29" s="203">
        <f t="shared" si="14"/>
        <v>49.8</v>
      </c>
      <c r="P29" s="203">
        <f t="shared" si="15"/>
        <v>39.840000000000003</v>
      </c>
      <c r="Q29" s="203">
        <v>39.840000000000003</v>
      </c>
      <c r="R29" s="203">
        <v>0</v>
      </c>
      <c r="S29" s="203">
        <v>0</v>
      </c>
      <c r="T29" s="263">
        <f>TabelaMatriz!$I$293</f>
        <v>26.939999999999998</v>
      </c>
      <c r="U29" s="204">
        <f t="shared" si="16"/>
        <v>1420.7199999999998</v>
      </c>
    </row>
    <row r="30" spans="1:24" customFormat="1" ht="12.75">
      <c r="A30" s="138">
        <v>5191</v>
      </c>
      <c r="B30" s="206">
        <f t="shared" si="8"/>
        <v>80000.009999999995</v>
      </c>
      <c r="C30" s="61"/>
      <c r="D30" s="61"/>
      <c r="E30" s="61"/>
      <c r="F30" s="139">
        <f t="shared" ref="F30:G32" si="17">F15</f>
        <v>100000</v>
      </c>
      <c r="G30" s="237">
        <f t="shared" si="17"/>
        <v>1109.73</v>
      </c>
      <c r="H30" s="203">
        <f>TabelaMatriz!$I$9</f>
        <v>10.35</v>
      </c>
      <c r="I30" s="149">
        <f>TabelaMatriz!$I$10*2</f>
        <v>24</v>
      </c>
      <c r="J30" s="149">
        <f>TabelaMatriz!$I$90</f>
        <v>21.71</v>
      </c>
      <c r="K30" s="149">
        <f t="shared" si="10"/>
        <v>1165.79</v>
      </c>
      <c r="L30" s="203">
        <f t="shared" si="11"/>
        <v>22.62</v>
      </c>
      <c r="M30" s="203">
        <f t="shared" si="12"/>
        <v>233.15</v>
      </c>
      <c r="N30" s="203">
        <f t="shared" si="13"/>
        <v>58.28</v>
      </c>
      <c r="O30" s="203">
        <f t="shared" si="14"/>
        <v>58.28</v>
      </c>
      <c r="P30" s="203">
        <f t="shared" si="15"/>
        <v>46.63</v>
      </c>
      <c r="Q30" s="203">
        <v>46.63</v>
      </c>
      <c r="R30" s="203">
        <v>0</v>
      </c>
      <c r="S30" s="203">
        <v>0</v>
      </c>
      <c r="T30" s="263">
        <f>TabelaMatriz!$I$293</f>
        <v>26.939999999999998</v>
      </c>
      <c r="U30" s="204">
        <f t="shared" si="16"/>
        <v>1658.3200000000002</v>
      </c>
    </row>
    <row r="31" spans="1:24" customFormat="1" ht="12.75">
      <c r="A31" s="138">
        <v>5192</v>
      </c>
      <c r="B31" s="206">
        <f t="shared" si="8"/>
        <v>100000.01</v>
      </c>
      <c r="C31" s="61"/>
      <c r="D31" s="61"/>
      <c r="E31" s="61"/>
      <c r="F31" s="139">
        <f t="shared" si="17"/>
        <v>200000</v>
      </c>
      <c r="G31" s="237">
        <f t="shared" si="17"/>
        <v>1501.39</v>
      </c>
      <c r="H31" s="203">
        <f>TabelaMatriz!$I$9</f>
        <v>10.35</v>
      </c>
      <c r="I31" s="149">
        <f>TabelaMatriz!$I$10*2</f>
        <v>24</v>
      </c>
      <c r="J31" s="149">
        <f>TabelaMatriz!$I$90</f>
        <v>21.71</v>
      </c>
      <c r="K31" s="149">
        <f t="shared" si="10"/>
        <v>1557.45</v>
      </c>
      <c r="L31" s="203">
        <f t="shared" si="11"/>
        <v>30.46</v>
      </c>
      <c r="M31" s="203">
        <f t="shared" si="12"/>
        <v>311.49</v>
      </c>
      <c r="N31" s="203">
        <f t="shared" si="13"/>
        <v>77.87</v>
      </c>
      <c r="O31" s="203">
        <f t="shared" si="14"/>
        <v>77.87</v>
      </c>
      <c r="P31" s="203">
        <f t="shared" si="15"/>
        <v>62.29</v>
      </c>
      <c r="Q31" s="203">
        <v>62.29</v>
      </c>
      <c r="R31" s="203">
        <v>0</v>
      </c>
      <c r="S31" s="203">
        <v>0</v>
      </c>
      <c r="T31" s="263">
        <f>TabelaMatriz!$I$293</f>
        <v>26.939999999999998</v>
      </c>
      <c r="U31" s="204">
        <f t="shared" si="16"/>
        <v>2206.66</v>
      </c>
    </row>
    <row r="32" spans="1:24" customFormat="1" ht="12.75">
      <c r="A32" s="138">
        <v>5193</v>
      </c>
      <c r="B32" s="206">
        <f t="shared" si="8"/>
        <v>200000.01</v>
      </c>
      <c r="C32" s="61"/>
      <c r="D32" s="61"/>
      <c r="E32" s="61"/>
      <c r="F32" s="139">
        <f t="shared" si="17"/>
        <v>400000</v>
      </c>
      <c r="G32" s="237">
        <f t="shared" si="17"/>
        <v>1615.66</v>
      </c>
      <c r="H32" s="203">
        <f>TabelaMatriz!$I$9</f>
        <v>10.35</v>
      </c>
      <c r="I32" s="149">
        <f>TabelaMatriz!$I$10*2</f>
        <v>24</v>
      </c>
      <c r="J32" s="149">
        <f>TabelaMatriz!$I$90</f>
        <v>21.71</v>
      </c>
      <c r="K32" s="149">
        <f t="shared" si="10"/>
        <v>1671.72</v>
      </c>
      <c r="L32" s="203">
        <f t="shared" si="11"/>
        <v>32.74</v>
      </c>
      <c r="M32" s="203">
        <f t="shared" si="12"/>
        <v>334.34</v>
      </c>
      <c r="N32" s="203">
        <f t="shared" si="13"/>
        <v>83.58</v>
      </c>
      <c r="O32" s="203">
        <f t="shared" si="14"/>
        <v>83.58</v>
      </c>
      <c r="P32" s="203">
        <f t="shared" si="15"/>
        <v>66.86</v>
      </c>
      <c r="Q32" s="203">
        <v>66.86</v>
      </c>
      <c r="R32" s="203">
        <v>0</v>
      </c>
      <c r="S32" s="203">
        <v>0</v>
      </c>
      <c r="T32" s="263">
        <f>TabelaMatriz!$I$293</f>
        <v>26.939999999999998</v>
      </c>
      <c r="U32" s="204">
        <f t="shared" si="16"/>
        <v>2366.6200000000003</v>
      </c>
    </row>
    <row r="33" spans="1:21" customFormat="1" ht="12.75">
      <c r="A33" s="138">
        <v>5194</v>
      </c>
      <c r="B33" s="682" t="s">
        <v>309</v>
      </c>
      <c r="C33" s="683"/>
      <c r="D33" s="683"/>
      <c r="E33" s="683"/>
      <c r="F33" s="139"/>
      <c r="G33" s="237"/>
      <c r="H33" s="203"/>
      <c r="I33" s="149"/>
      <c r="J33" s="149"/>
      <c r="K33" s="149"/>
      <c r="L33" s="203"/>
      <c r="M33" s="203"/>
      <c r="N33" s="203"/>
      <c r="O33" s="203"/>
      <c r="P33" s="203"/>
      <c r="Q33" s="203"/>
      <c r="R33" s="203"/>
      <c r="S33" s="203"/>
      <c r="T33" s="209"/>
      <c r="U33" s="204"/>
    </row>
    <row r="34" spans="1:21" s="1" customFormat="1" ht="18" customHeight="1">
      <c r="A34" s="140"/>
      <c r="B34" s="684" t="s">
        <v>345</v>
      </c>
      <c r="C34" s="685"/>
      <c r="D34" s="685"/>
      <c r="E34" s="685"/>
      <c r="F34" s="686"/>
      <c r="G34" s="237">
        <f>G20</f>
        <v>144.75</v>
      </c>
      <c r="H34" s="203"/>
      <c r="I34" s="148" t="s">
        <v>34</v>
      </c>
      <c r="J34" s="149"/>
      <c r="K34" s="149">
        <f>SUM(G34:J34)</f>
        <v>144.75</v>
      </c>
      <c r="L34" s="203">
        <f>TRUNC((G34+J34)*2%,2)</f>
        <v>2.89</v>
      </c>
      <c r="M34" s="203">
        <f>TRUNC(K34*20%,2)</f>
        <v>28.95</v>
      </c>
      <c r="N34" s="203">
        <f>TRUNC(K34*5%,2)</f>
        <v>7.23</v>
      </c>
      <c r="O34" s="203">
        <f>N34</f>
        <v>7.23</v>
      </c>
      <c r="P34" s="203">
        <f>TRUNC(K34*4%,2)</f>
        <v>5.79</v>
      </c>
      <c r="Q34" s="203">
        <v>5.79</v>
      </c>
      <c r="R34" s="203" t="s">
        <v>34</v>
      </c>
      <c r="S34" s="203" t="s">
        <v>34</v>
      </c>
      <c r="T34" s="93" t="s">
        <v>34</v>
      </c>
      <c r="U34" s="204">
        <f>SUM(K34:T34)</f>
        <v>202.62999999999994</v>
      </c>
    </row>
    <row r="35" spans="1:21" customFormat="1" ht="12.75" customHeight="1">
      <c r="A35" s="2"/>
      <c r="B35" s="250" t="str">
        <f>TabelaMatriz!B52</f>
        <v>Obs. 2 - O valor máximo dos emolumentos não pode ultrapassar o valor da Taxa Judiciária Máxima, art 1º §3º</v>
      </c>
      <c r="C35" s="213"/>
      <c r="D35" s="213"/>
      <c r="E35" s="213"/>
      <c r="F35" s="213"/>
      <c r="G35" s="149"/>
      <c r="H35" s="149"/>
      <c r="I35" s="148"/>
      <c r="J35" s="149"/>
      <c r="K35" s="149"/>
      <c r="L35" s="203"/>
      <c r="M35" s="203"/>
      <c r="N35" s="203"/>
      <c r="O35" s="203"/>
      <c r="P35" s="203"/>
      <c r="Q35" s="203"/>
      <c r="R35" s="203"/>
      <c r="S35" s="203"/>
      <c r="T35" s="112"/>
      <c r="U35" s="204"/>
    </row>
    <row r="36" spans="1:21" s="1" customFormat="1" ht="3" customHeight="1" thickBot="1">
      <c r="A36" s="298"/>
      <c r="B36" s="695"/>
      <c r="C36" s="696"/>
      <c r="D36" s="696"/>
      <c r="E36" s="696"/>
      <c r="F36" s="696"/>
      <c r="G36" s="287"/>
      <c r="H36" s="287"/>
      <c r="I36" s="287"/>
      <c r="J36" s="287"/>
      <c r="K36" s="287"/>
      <c r="L36" s="300"/>
      <c r="M36" s="301"/>
      <c r="N36" s="302"/>
      <c r="O36" s="302"/>
      <c r="P36" s="302"/>
      <c r="Q36" s="302"/>
      <c r="R36" s="302"/>
      <c r="S36" s="302"/>
      <c r="T36" s="302"/>
      <c r="U36" s="285"/>
    </row>
    <row r="37" spans="1:21" customFormat="1" ht="16.5" customHeight="1" thickBot="1">
      <c r="A37" s="2"/>
      <c r="B37" s="711" t="s">
        <v>467</v>
      </c>
      <c r="C37" s="712"/>
      <c r="D37" s="712"/>
      <c r="E37" s="712"/>
      <c r="F37" s="712"/>
      <c r="G37" s="713"/>
      <c r="H37" s="149"/>
      <c r="I37" s="149" t="s">
        <v>469</v>
      </c>
      <c r="J37" s="149"/>
      <c r="K37" s="149"/>
      <c r="L37" s="203"/>
      <c r="M37" s="203"/>
      <c r="N37" s="203"/>
      <c r="O37" s="203"/>
      <c r="P37" s="203"/>
      <c r="Q37" s="203"/>
      <c r="R37" s="203"/>
      <c r="S37" s="203"/>
      <c r="T37" s="209"/>
      <c r="U37" s="204"/>
    </row>
    <row r="38" spans="1:21" customFormat="1" ht="12.75" customHeight="1">
      <c r="A38" s="138"/>
      <c r="B38" s="205" t="s">
        <v>25</v>
      </c>
      <c r="C38" s="20"/>
      <c r="D38" s="20"/>
      <c r="E38" s="20"/>
      <c r="F38" s="20" t="s">
        <v>26</v>
      </c>
      <c r="G38" s="228"/>
      <c r="H38" s="149"/>
      <c r="I38" s="141"/>
      <c r="J38" s="141"/>
      <c r="K38" s="149"/>
      <c r="L38" s="203"/>
      <c r="M38" s="203"/>
      <c r="N38" s="203"/>
      <c r="O38" s="203"/>
      <c r="P38" s="203"/>
      <c r="Q38" s="203"/>
      <c r="R38" s="203"/>
      <c r="S38" s="203"/>
      <c r="T38" s="209"/>
      <c r="U38" s="204"/>
    </row>
    <row r="39" spans="1:21" customFormat="1" ht="12.75">
      <c r="A39" s="138">
        <v>5186</v>
      </c>
      <c r="B39" s="206">
        <f t="shared" ref="B39:B44" si="18">B10</f>
        <v>0.01</v>
      </c>
      <c r="C39" s="61"/>
      <c r="D39" s="61"/>
      <c r="E39" s="61"/>
      <c r="F39" s="139">
        <f t="shared" ref="F39:G44" si="19">F10</f>
        <v>15000</v>
      </c>
      <c r="G39" s="237">
        <f t="shared" si="19"/>
        <v>187.63</v>
      </c>
      <c r="H39" s="203">
        <f>TabelaMatriz!$I$9</f>
        <v>10.35</v>
      </c>
      <c r="I39" s="149">
        <f>TabelaMatriz!$I$10*2</f>
        <v>24</v>
      </c>
      <c r="J39" s="149">
        <v>21.17</v>
      </c>
      <c r="K39" s="149">
        <f t="shared" ref="K39:K45" si="20">SUM(G39:J39)</f>
        <v>243.14999999999998</v>
      </c>
      <c r="L39" s="203">
        <f t="shared" ref="L39:L45" si="21">TRUNC((G39+J39)*2%,2)</f>
        <v>4.17</v>
      </c>
      <c r="M39" s="203" t="s">
        <v>34</v>
      </c>
      <c r="N39" s="203" t="s">
        <v>34</v>
      </c>
      <c r="O39" s="203" t="str">
        <f t="shared" ref="O39:O48" si="22">N39</f>
        <v>-</v>
      </c>
      <c r="P39" s="203" t="s">
        <v>34</v>
      </c>
      <c r="Q39" s="203">
        <f>TRUNC(K39*TabelaMatriz!$I$302,2)</f>
        <v>7.29</v>
      </c>
      <c r="R39" s="203" t="s">
        <v>34</v>
      </c>
      <c r="S39" s="203" t="s">
        <v>34</v>
      </c>
      <c r="T39" s="263">
        <f>TabelaMatriz!$I$293</f>
        <v>26.939999999999998</v>
      </c>
      <c r="U39" s="204">
        <f t="shared" ref="U39:U45" si="23">SUM(K39:T39)</f>
        <v>281.54999999999995</v>
      </c>
    </row>
    <row r="40" spans="1:21" customFormat="1" ht="12.75">
      <c r="A40" s="138">
        <v>5187</v>
      </c>
      <c r="B40" s="206">
        <f t="shared" si="18"/>
        <v>15000.01</v>
      </c>
      <c r="C40" s="61"/>
      <c r="D40" s="61"/>
      <c r="E40" s="61"/>
      <c r="F40" s="139">
        <f t="shared" si="19"/>
        <v>30000</v>
      </c>
      <c r="G40" s="237">
        <f t="shared" si="19"/>
        <v>310.02</v>
      </c>
      <c r="H40" s="203">
        <f>TabelaMatriz!$I$9</f>
        <v>10.35</v>
      </c>
      <c r="I40" s="149">
        <f>TabelaMatriz!$I$10*2</f>
        <v>24</v>
      </c>
      <c r="J40" s="149">
        <v>21.17</v>
      </c>
      <c r="K40" s="149">
        <f t="shared" si="20"/>
        <v>365.54</v>
      </c>
      <c r="L40" s="203">
        <f t="shared" si="21"/>
        <v>6.62</v>
      </c>
      <c r="M40" s="203" t="s">
        <v>34</v>
      </c>
      <c r="N40" s="203" t="s">
        <v>34</v>
      </c>
      <c r="O40" s="203" t="str">
        <f t="shared" si="22"/>
        <v>-</v>
      </c>
      <c r="P40" s="203" t="s">
        <v>34</v>
      </c>
      <c r="Q40" s="203">
        <f>TRUNC(K40*TabelaMatriz!$I$302,2)</f>
        <v>10.96</v>
      </c>
      <c r="R40" s="203" t="s">
        <v>34</v>
      </c>
      <c r="S40" s="203" t="s">
        <v>34</v>
      </c>
      <c r="T40" s="263">
        <f>TabelaMatriz!$I$293</f>
        <v>26.939999999999998</v>
      </c>
      <c r="U40" s="204">
        <f t="shared" si="23"/>
        <v>410.06</v>
      </c>
    </row>
    <row r="41" spans="1:21" customFormat="1" ht="12.75">
      <c r="A41" s="138">
        <v>5188</v>
      </c>
      <c r="B41" s="206">
        <f t="shared" si="18"/>
        <v>30000.01</v>
      </c>
      <c r="C41" s="61"/>
      <c r="D41" s="61"/>
      <c r="E41" s="61"/>
      <c r="F41" s="139">
        <f t="shared" si="19"/>
        <v>45000</v>
      </c>
      <c r="G41" s="237">
        <f t="shared" si="19"/>
        <v>432.45</v>
      </c>
      <c r="H41" s="203">
        <f>TabelaMatriz!$I$9</f>
        <v>10.35</v>
      </c>
      <c r="I41" s="149">
        <f>TabelaMatriz!$I$10*2</f>
        <v>24</v>
      </c>
      <c r="J41" s="149">
        <v>21.17</v>
      </c>
      <c r="K41" s="149">
        <f t="shared" si="20"/>
        <v>487.97</v>
      </c>
      <c r="L41" s="203">
        <f t="shared" si="21"/>
        <v>9.07</v>
      </c>
      <c r="M41" s="203" t="s">
        <v>34</v>
      </c>
      <c r="N41" s="203" t="s">
        <v>34</v>
      </c>
      <c r="O41" s="203" t="str">
        <f t="shared" si="22"/>
        <v>-</v>
      </c>
      <c r="P41" s="203" t="s">
        <v>34</v>
      </c>
      <c r="Q41" s="203">
        <f>TRUNC(K41*TabelaMatriz!$I$302,2)</f>
        <v>14.63</v>
      </c>
      <c r="R41" s="203" t="s">
        <v>34</v>
      </c>
      <c r="S41" s="203" t="s">
        <v>34</v>
      </c>
      <c r="T41" s="263">
        <f>TabelaMatriz!$I$293</f>
        <v>26.939999999999998</v>
      </c>
      <c r="U41" s="204">
        <f t="shared" si="23"/>
        <v>538.61</v>
      </c>
    </row>
    <row r="42" spans="1:21" customFormat="1" ht="12.75" customHeight="1">
      <c r="A42" s="138">
        <v>5189</v>
      </c>
      <c r="B42" s="206">
        <f t="shared" si="18"/>
        <v>45000.01</v>
      </c>
      <c r="C42" s="61"/>
      <c r="D42" s="61"/>
      <c r="E42" s="61"/>
      <c r="F42" s="139">
        <f t="shared" si="19"/>
        <v>60000</v>
      </c>
      <c r="G42" s="237">
        <f t="shared" si="19"/>
        <v>530.35</v>
      </c>
      <c r="H42" s="203">
        <f>TabelaMatriz!$I$9</f>
        <v>10.35</v>
      </c>
      <c r="I42" s="149">
        <f>TabelaMatriz!$I$10*2</f>
        <v>24</v>
      </c>
      <c r="J42" s="149">
        <v>21.17</v>
      </c>
      <c r="K42" s="149">
        <f t="shared" si="20"/>
        <v>585.87</v>
      </c>
      <c r="L42" s="203">
        <f t="shared" si="21"/>
        <v>11.03</v>
      </c>
      <c r="M42" s="203" t="s">
        <v>34</v>
      </c>
      <c r="N42" s="203" t="s">
        <v>34</v>
      </c>
      <c r="O42" s="203" t="str">
        <f t="shared" si="22"/>
        <v>-</v>
      </c>
      <c r="P42" s="203" t="s">
        <v>34</v>
      </c>
      <c r="Q42" s="203">
        <f>TRUNC(K42*TabelaMatriz!$I$302,2)</f>
        <v>17.57</v>
      </c>
      <c r="R42" s="203" t="s">
        <v>34</v>
      </c>
      <c r="S42" s="203" t="s">
        <v>34</v>
      </c>
      <c r="T42" s="263">
        <f>TabelaMatriz!$I$293</f>
        <v>26.939999999999998</v>
      </c>
      <c r="U42" s="204">
        <f t="shared" si="23"/>
        <v>641.41000000000008</v>
      </c>
    </row>
    <row r="43" spans="1:21" customFormat="1" ht="13.5" customHeight="1">
      <c r="A43" s="138">
        <v>5190</v>
      </c>
      <c r="B43" s="206">
        <f t="shared" si="18"/>
        <v>60000.01</v>
      </c>
      <c r="C43" s="61"/>
      <c r="D43" s="61"/>
      <c r="E43" s="61"/>
      <c r="F43" s="139">
        <f t="shared" si="19"/>
        <v>80000</v>
      </c>
      <c r="G43" s="237">
        <f t="shared" si="19"/>
        <v>940</v>
      </c>
      <c r="H43" s="203">
        <f>TabelaMatriz!$I$9</f>
        <v>10.35</v>
      </c>
      <c r="I43" s="149">
        <f>TabelaMatriz!$I$10*2</f>
        <v>24</v>
      </c>
      <c r="J43" s="149">
        <v>21.17</v>
      </c>
      <c r="K43" s="149">
        <f t="shared" si="20"/>
        <v>995.52</v>
      </c>
      <c r="L43" s="203">
        <f t="shared" si="21"/>
        <v>19.22</v>
      </c>
      <c r="M43" s="203" t="s">
        <v>34</v>
      </c>
      <c r="N43" s="203" t="s">
        <v>34</v>
      </c>
      <c r="O43" s="203" t="str">
        <f t="shared" si="22"/>
        <v>-</v>
      </c>
      <c r="P43" s="203" t="s">
        <v>34</v>
      </c>
      <c r="Q43" s="203">
        <f>TRUNC(K43*TabelaMatriz!$I$302,2)</f>
        <v>29.86</v>
      </c>
      <c r="R43" s="203" t="s">
        <v>34</v>
      </c>
      <c r="S43" s="203" t="s">
        <v>34</v>
      </c>
      <c r="T43" s="263">
        <f>TabelaMatriz!$I$293</f>
        <v>26.939999999999998</v>
      </c>
      <c r="U43" s="204">
        <f t="shared" si="23"/>
        <v>1071.54</v>
      </c>
    </row>
    <row r="44" spans="1:21" customFormat="1" ht="12.75">
      <c r="A44" s="138">
        <v>5191</v>
      </c>
      <c r="B44" s="206">
        <f t="shared" si="18"/>
        <v>80000.009999999995</v>
      </c>
      <c r="C44" s="61"/>
      <c r="D44" s="61"/>
      <c r="E44" s="61"/>
      <c r="F44" s="139">
        <f t="shared" si="19"/>
        <v>100000</v>
      </c>
      <c r="G44" s="237">
        <f t="shared" si="19"/>
        <v>1109.73</v>
      </c>
      <c r="H44" s="203">
        <f>TabelaMatriz!$I$9</f>
        <v>10.35</v>
      </c>
      <c r="I44" s="149">
        <f>TabelaMatriz!$I$10*2</f>
        <v>24</v>
      </c>
      <c r="J44" s="149">
        <v>21.17</v>
      </c>
      <c r="K44" s="149">
        <f t="shared" si="20"/>
        <v>1165.25</v>
      </c>
      <c r="L44" s="203">
        <f t="shared" si="21"/>
        <v>22.61</v>
      </c>
      <c r="M44" s="203" t="s">
        <v>34</v>
      </c>
      <c r="N44" s="203" t="s">
        <v>34</v>
      </c>
      <c r="O44" s="203" t="str">
        <f t="shared" si="22"/>
        <v>-</v>
      </c>
      <c r="P44" s="203" t="s">
        <v>34</v>
      </c>
      <c r="Q44" s="203">
        <f>TRUNC(K44*TabelaMatriz!$I$302,2)</f>
        <v>34.950000000000003</v>
      </c>
      <c r="R44" s="203" t="s">
        <v>34</v>
      </c>
      <c r="S44" s="203" t="s">
        <v>34</v>
      </c>
      <c r="T44" s="263">
        <f>TabelaMatriz!$I$293</f>
        <v>26.939999999999998</v>
      </c>
      <c r="U44" s="204">
        <f t="shared" si="23"/>
        <v>1249.75</v>
      </c>
    </row>
    <row r="45" spans="1:21" customFormat="1" ht="12.75">
      <c r="A45" s="138">
        <v>5192</v>
      </c>
      <c r="B45" s="206">
        <f>B16</f>
        <v>100000.01</v>
      </c>
      <c r="C45" s="61"/>
      <c r="D45" s="61"/>
      <c r="E45" s="61"/>
      <c r="F45" s="139">
        <f>F16</f>
        <v>200000</v>
      </c>
      <c r="G45" s="237">
        <f>G16</f>
        <v>1501.39</v>
      </c>
      <c r="H45" s="203">
        <f>TabelaMatriz!$I$9</f>
        <v>10.35</v>
      </c>
      <c r="I45" s="149">
        <f>TabelaMatriz!$I$10*2</f>
        <v>24</v>
      </c>
      <c r="J45" s="149">
        <v>21.17</v>
      </c>
      <c r="K45" s="149">
        <f t="shared" si="20"/>
        <v>1556.91</v>
      </c>
      <c r="L45" s="203">
        <f t="shared" si="21"/>
        <v>30.45</v>
      </c>
      <c r="M45" s="203" t="s">
        <v>34</v>
      </c>
      <c r="N45" s="203" t="s">
        <v>34</v>
      </c>
      <c r="O45" s="203" t="str">
        <f t="shared" si="22"/>
        <v>-</v>
      </c>
      <c r="P45" s="203" t="s">
        <v>34</v>
      </c>
      <c r="Q45" s="203">
        <f>TRUNC(K45*TabelaMatriz!$I$302,2)</f>
        <v>46.7</v>
      </c>
      <c r="R45" s="203" t="s">
        <v>34</v>
      </c>
      <c r="S45" s="203" t="s">
        <v>34</v>
      </c>
      <c r="T45" s="263">
        <f>TabelaMatriz!$I$293</f>
        <v>26.939999999999998</v>
      </c>
      <c r="U45" s="204">
        <f t="shared" si="23"/>
        <v>1661.0000000000002</v>
      </c>
    </row>
    <row r="46" spans="1:21" customFormat="1" ht="12.75">
      <c r="A46" s="138">
        <v>5193</v>
      </c>
      <c r="B46" s="206">
        <f>B17</f>
        <v>200000.01</v>
      </c>
      <c r="C46" s="61"/>
      <c r="D46" s="61"/>
      <c r="E46" s="61"/>
      <c r="F46" s="139">
        <f>F17</f>
        <v>400000</v>
      </c>
      <c r="G46" s="237">
        <f>G17</f>
        <v>1615.66</v>
      </c>
      <c r="H46" s="203">
        <f>TabelaMatriz!$I$9</f>
        <v>10.35</v>
      </c>
      <c r="I46" s="149">
        <f>TabelaMatriz!$I$10*2</f>
        <v>24</v>
      </c>
      <c r="J46" s="149">
        <v>21.17</v>
      </c>
      <c r="K46" s="149">
        <f>SUM(G46:J46)</f>
        <v>1671.18</v>
      </c>
      <c r="L46" s="203">
        <f>TRUNC((G46+J46)*2%,2)</f>
        <v>32.729999999999997</v>
      </c>
      <c r="M46" s="203" t="s">
        <v>34</v>
      </c>
      <c r="N46" s="203" t="s">
        <v>34</v>
      </c>
      <c r="O46" s="203" t="str">
        <f t="shared" si="22"/>
        <v>-</v>
      </c>
      <c r="P46" s="203" t="s">
        <v>34</v>
      </c>
      <c r="Q46" s="203">
        <f>TRUNC(K46*TabelaMatriz!$I$302,2)</f>
        <v>50.13</v>
      </c>
      <c r="R46" s="203" t="s">
        <v>34</v>
      </c>
      <c r="S46" s="203" t="s">
        <v>34</v>
      </c>
      <c r="T46" s="263">
        <f>TabelaMatriz!$I$293</f>
        <v>26.939999999999998</v>
      </c>
      <c r="U46" s="204">
        <f>SUM(K46:T46)</f>
        <v>1780.9800000000002</v>
      </c>
    </row>
    <row r="47" spans="1:21" customFormat="1" ht="12.75">
      <c r="A47" s="138">
        <v>5194</v>
      </c>
      <c r="B47" s="682" t="s">
        <v>309</v>
      </c>
      <c r="C47" s="683"/>
      <c r="D47" s="683"/>
      <c r="E47" s="683"/>
      <c r="F47" s="139"/>
      <c r="G47" s="237"/>
      <c r="H47" s="203"/>
      <c r="I47" s="149"/>
      <c r="J47" s="149"/>
      <c r="K47" s="149"/>
      <c r="L47" s="203"/>
      <c r="M47" s="203"/>
      <c r="N47" s="203"/>
      <c r="O47" s="203"/>
      <c r="P47" s="203"/>
      <c r="Q47" s="203"/>
      <c r="R47" s="203"/>
      <c r="S47" s="203"/>
      <c r="T47" s="209"/>
      <c r="U47" s="204"/>
    </row>
    <row r="48" spans="1:21" s="1" customFormat="1" ht="18.75" customHeight="1">
      <c r="A48" s="140"/>
      <c r="B48" s="684" t="s">
        <v>345</v>
      </c>
      <c r="C48" s="685"/>
      <c r="D48" s="685"/>
      <c r="E48" s="685"/>
      <c r="F48" s="686"/>
      <c r="G48" s="237">
        <f>G20</f>
        <v>144.75</v>
      </c>
      <c r="H48" s="203"/>
      <c r="I48" s="148" t="s">
        <v>34</v>
      </c>
      <c r="J48" s="148"/>
      <c r="K48" s="149">
        <f>SUM(G48:J48)</f>
        <v>144.75</v>
      </c>
      <c r="L48" s="203">
        <f>TRUNC((G48+J48)*2%,2)</f>
        <v>2.89</v>
      </c>
      <c r="M48" s="203" t="s">
        <v>34</v>
      </c>
      <c r="N48" s="203" t="s">
        <v>34</v>
      </c>
      <c r="O48" s="203" t="str">
        <f t="shared" si="22"/>
        <v>-</v>
      </c>
      <c r="P48" s="203" t="s">
        <v>34</v>
      </c>
      <c r="Q48" s="203">
        <f>TRUNC(K48*TabelaMatriz!$I$302,2)</f>
        <v>4.34</v>
      </c>
      <c r="R48" s="203" t="s">
        <v>34</v>
      </c>
      <c r="S48" s="203" t="s">
        <v>34</v>
      </c>
      <c r="T48" s="112" t="s">
        <v>34</v>
      </c>
      <c r="U48" s="204">
        <f>SUM(K48:T48)</f>
        <v>151.97999999999999</v>
      </c>
    </row>
    <row r="49" spans="1:21" s="1" customFormat="1" ht="12" customHeight="1">
      <c r="A49" s="140"/>
      <c r="B49" s="684" t="str">
        <f>TabelaMatriz!B83</f>
        <v>Obs.2 - O valor máximo dos emolumentos não pode ultrapassar a Metade do valor da Taxa Judiciária Máxima</v>
      </c>
      <c r="C49" s="685"/>
      <c r="D49" s="685"/>
      <c r="E49" s="685"/>
      <c r="F49" s="685"/>
      <c r="G49" s="685"/>
      <c r="H49" s="685"/>
      <c r="I49" s="685"/>
      <c r="J49" s="685"/>
      <c r="K49" s="685"/>
      <c r="L49" s="685"/>
      <c r="M49" s="685"/>
      <c r="N49" s="685"/>
      <c r="O49" s="685"/>
      <c r="P49" s="685"/>
      <c r="Q49" s="685"/>
      <c r="R49" s="685"/>
      <c r="S49" s="685"/>
      <c r="T49" s="685"/>
      <c r="U49" s="204"/>
    </row>
    <row r="50" spans="1:21" customFormat="1" ht="5.25" customHeight="1">
      <c r="A50" s="303"/>
      <c r="B50" s="304"/>
      <c r="C50" s="295"/>
      <c r="D50" s="295"/>
      <c r="E50" s="295"/>
      <c r="F50" s="295"/>
      <c r="G50" s="287"/>
      <c r="H50" s="287"/>
      <c r="I50" s="287"/>
      <c r="J50" s="287"/>
      <c r="K50" s="287"/>
      <c r="L50" s="300"/>
      <c r="M50" s="301"/>
      <c r="N50" s="302"/>
      <c r="O50" s="302"/>
      <c r="P50" s="302"/>
      <c r="Q50" s="302"/>
      <c r="R50" s="302"/>
      <c r="S50" s="302"/>
      <c r="T50" s="302"/>
      <c r="U50" s="305"/>
    </row>
    <row r="51" spans="1:21" customFormat="1" ht="15" customHeight="1" thickBot="1">
      <c r="A51" s="308"/>
      <c r="B51" s="431"/>
      <c r="C51" s="93"/>
      <c r="D51" s="93"/>
      <c r="E51" s="93"/>
      <c r="F51" s="93"/>
      <c r="G51" s="149"/>
      <c r="H51" s="149"/>
      <c r="I51" s="149"/>
      <c r="J51" s="149"/>
      <c r="K51" s="149"/>
      <c r="L51" s="141"/>
      <c r="M51" s="28"/>
      <c r="N51" s="1"/>
      <c r="O51" s="1"/>
      <c r="P51" s="1"/>
      <c r="Q51" s="1"/>
      <c r="R51" s="1"/>
      <c r="S51" s="1"/>
      <c r="T51" s="1"/>
      <c r="U51" s="309"/>
    </row>
    <row r="52" spans="1:21" customFormat="1" ht="15" customHeight="1">
      <c r="A52" s="2"/>
      <c r="B52" s="699" t="s">
        <v>324</v>
      </c>
      <c r="C52" s="700"/>
      <c r="D52" s="700"/>
      <c r="E52" s="700"/>
      <c r="F52" s="700"/>
      <c r="G52" s="700"/>
      <c r="H52" s="229" t="s">
        <v>300</v>
      </c>
      <c r="I52" s="136" t="s">
        <v>239</v>
      </c>
      <c r="J52" s="240" t="s">
        <v>303</v>
      </c>
      <c r="K52" s="650" t="s">
        <v>241</v>
      </c>
      <c r="L52" s="311">
        <v>0.02</v>
      </c>
      <c r="M52" s="314">
        <v>0.2</v>
      </c>
      <c r="N52" s="311">
        <v>0.05</v>
      </c>
      <c r="O52" s="311">
        <v>0.05</v>
      </c>
      <c r="P52" s="311">
        <v>0.04</v>
      </c>
      <c r="Q52" s="639" t="s">
        <v>488</v>
      </c>
      <c r="R52" s="282" t="s">
        <v>347</v>
      </c>
      <c r="S52" s="282" t="s">
        <v>348</v>
      </c>
      <c r="T52" s="624" t="s">
        <v>426</v>
      </c>
      <c r="U52" s="680" t="s">
        <v>3</v>
      </c>
    </row>
    <row r="53" spans="1:21" customFormat="1" ht="15.75" customHeight="1" thickBot="1">
      <c r="A53" s="2"/>
      <c r="B53" s="697" t="s">
        <v>323</v>
      </c>
      <c r="C53" s="698"/>
      <c r="D53" s="698"/>
      <c r="E53" s="698"/>
      <c r="F53" s="698"/>
      <c r="G53" s="698"/>
      <c r="H53" s="230" t="s">
        <v>234</v>
      </c>
      <c r="I53" s="119" t="s">
        <v>240</v>
      </c>
      <c r="J53" s="239" t="s">
        <v>304</v>
      </c>
      <c r="K53" s="651"/>
      <c r="L53" s="313" t="s">
        <v>349</v>
      </c>
      <c r="M53" s="315" t="s">
        <v>350</v>
      </c>
      <c r="N53" s="313" t="s">
        <v>351</v>
      </c>
      <c r="O53" s="313" t="s">
        <v>352</v>
      </c>
      <c r="P53" s="313" t="s">
        <v>355</v>
      </c>
      <c r="Q53" s="640"/>
      <c r="R53" s="313" t="s">
        <v>353</v>
      </c>
      <c r="S53" s="313" t="s">
        <v>354</v>
      </c>
      <c r="T53" s="625"/>
      <c r="U53" s="681"/>
    </row>
    <row r="54" spans="1:21" customFormat="1" ht="12.75" customHeight="1">
      <c r="A54" s="138"/>
      <c r="B54" s="205" t="s">
        <v>25</v>
      </c>
      <c r="C54" s="20"/>
      <c r="D54" s="20"/>
      <c r="E54" s="20"/>
      <c r="F54" s="20" t="s">
        <v>26</v>
      </c>
      <c r="G54" s="228"/>
      <c r="H54" s="149"/>
      <c r="I54" s="141"/>
      <c r="J54" s="141"/>
      <c r="K54" s="149"/>
      <c r="L54" s="203"/>
      <c r="M54" s="203"/>
      <c r="N54" s="203"/>
      <c r="O54" s="203"/>
      <c r="P54" s="203"/>
      <c r="Q54" s="203"/>
      <c r="R54" s="203"/>
      <c r="S54" s="203"/>
      <c r="T54" s="209"/>
      <c r="U54" s="204"/>
    </row>
    <row r="55" spans="1:21" customFormat="1" ht="12.75">
      <c r="A55" s="138">
        <v>5186</v>
      </c>
      <c r="B55" s="206">
        <f t="shared" ref="B55:B62" si="24">B25</f>
        <v>0.01</v>
      </c>
      <c r="C55" s="61"/>
      <c r="D55" s="61"/>
      <c r="E55" s="61"/>
      <c r="F55" s="139">
        <f t="shared" ref="F55:F62" si="25">F25</f>
        <v>15000</v>
      </c>
      <c r="G55" s="264">
        <f t="shared" ref="G55:G62" si="26">G10/2</f>
        <v>93.814999999999998</v>
      </c>
      <c r="H55" s="203">
        <f>TabelaMatriz!$I$9/2</f>
        <v>5.1749999999999998</v>
      </c>
      <c r="I55" s="149">
        <f>TabelaMatriz!$I$10*2/2</f>
        <v>12</v>
      </c>
      <c r="J55" s="149">
        <v>10.58</v>
      </c>
      <c r="K55" s="149">
        <f t="shared" ref="K55:K61" si="27">SUM(G55:J55)</f>
        <v>121.57</v>
      </c>
      <c r="L55" s="203">
        <f t="shared" ref="L55:L61" si="28">TRUNC((G55+J55)*2%,2)</f>
        <v>2.08</v>
      </c>
      <c r="M55" s="203">
        <f t="shared" ref="M55:M64" si="29">TRUNC(K55*20%,2)</f>
        <v>24.31</v>
      </c>
      <c r="N55" s="203">
        <f t="shared" ref="N55:N64" si="30">TRUNC(K55*5%,2)</f>
        <v>6.07</v>
      </c>
      <c r="O55" s="203">
        <f t="shared" ref="O55:O64" si="31">N55</f>
        <v>6.07</v>
      </c>
      <c r="P55" s="203">
        <f t="shared" ref="P55:P64" si="32">TRUNC(K55*4%,2)</f>
        <v>4.8600000000000003</v>
      </c>
      <c r="Q55" s="203">
        <v>4.8600000000000003</v>
      </c>
      <c r="R55" s="203">
        <v>0</v>
      </c>
      <c r="S55" s="203">
        <v>0</v>
      </c>
      <c r="T55" s="263">
        <f>TabelaMatriz!$I$293</f>
        <v>26.939999999999998</v>
      </c>
      <c r="U55" s="204">
        <f t="shared" ref="U55:U61" si="33">SUM(K55:T55)</f>
        <v>196.76</v>
      </c>
    </row>
    <row r="56" spans="1:21" customFormat="1" ht="12.75">
      <c r="A56" s="138">
        <v>5187</v>
      </c>
      <c r="B56" s="206">
        <f t="shared" si="24"/>
        <v>15000.01</v>
      </c>
      <c r="C56" s="61"/>
      <c r="D56" s="61"/>
      <c r="E56" s="61"/>
      <c r="F56" s="139">
        <f t="shared" si="25"/>
        <v>30000</v>
      </c>
      <c r="G56" s="264">
        <f t="shared" si="26"/>
        <v>155.01</v>
      </c>
      <c r="H56" s="203">
        <f>TabelaMatriz!$I$9/2</f>
        <v>5.1749999999999998</v>
      </c>
      <c r="I56" s="149">
        <f>TabelaMatriz!$I$10*2/2</f>
        <v>12</v>
      </c>
      <c r="J56" s="149">
        <v>10.58</v>
      </c>
      <c r="K56" s="149">
        <f t="shared" si="27"/>
        <v>182.76500000000001</v>
      </c>
      <c r="L56" s="203">
        <f t="shared" si="28"/>
        <v>3.31</v>
      </c>
      <c r="M56" s="203">
        <f t="shared" si="29"/>
        <v>36.549999999999997</v>
      </c>
      <c r="N56" s="203">
        <f t="shared" si="30"/>
        <v>9.1300000000000008</v>
      </c>
      <c r="O56" s="203">
        <f t="shared" si="31"/>
        <v>9.1300000000000008</v>
      </c>
      <c r="P56" s="203">
        <f t="shared" si="32"/>
        <v>7.31</v>
      </c>
      <c r="Q56" s="203">
        <v>7.31</v>
      </c>
      <c r="R56" s="203">
        <v>0</v>
      </c>
      <c r="S56" s="203">
        <v>0</v>
      </c>
      <c r="T56" s="263">
        <f>TabelaMatriz!$I$293</f>
        <v>26.939999999999998</v>
      </c>
      <c r="U56" s="204">
        <f t="shared" si="33"/>
        <v>282.44499999999999</v>
      </c>
    </row>
    <row r="57" spans="1:21" customFormat="1" ht="12.75">
      <c r="A57" s="138">
        <v>5188</v>
      </c>
      <c r="B57" s="206">
        <f t="shared" si="24"/>
        <v>30000.01</v>
      </c>
      <c r="C57" s="61"/>
      <c r="D57" s="61"/>
      <c r="E57" s="61"/>
      <c r="F57" s="139">
        <f t="shared" si="25"/>
        <v>45000</v>
      </c>
      <c r="G57" s="264">
        <f t="shared" si="26"/>
        <v>216.22499999999999</v>
      </c>
      <c r="H57" s="203">
        <f>TabelaMatriz!$I$9/2</f>
        <v>5.1749999999999998</v>
      </c>
      <c r="I57" s="149">
        <f>TabelaMatriz!$I$10*2/2</f>
        <v>12</v>
      </c>
      <c r="J57" s="149">
        <v>10.58</v>
      </c>
      <c r="K57" s="149">
        <f t="shared" si="27"/>
        <v>243.98000000000002</v>
      </c>
      <c r="L57" s="203">
        <f t="shared" si="28"/>
        <v>4.53</v>
      </c>
      <c r="M57" s="203">
        <f t="shared" si="29"/>
        <v>48.79</v>
      </c>
      <c r="N57" s="203">
        <f t="shared" si="30"/>
        <v>12.19</v>
      </c>
      <c r="O57" s="203">
        <f t="shared" si="31"/>
        <v>12.19</v>
      </c>
      <c r="P57" s="203">
        <f t="shared" si="32"/>
        <v>9.75</v>
      </c>
      <c r="Q57" s="203">
        <v>9.75</v>
      </c>
      <c r="R57" s="203">
        <v>0</v>
      </c>
      <c r="S57" s="203">
        <v>0</v>
      </c>
      <c r="T57" s="263">
        <f>TabelaMatriz!$I$293</f>
        <v>26.939999999999998</v>
      </c>
      <c r="U57" s="204">
        <f t="shared" si="33"/>
        <v>368.12</v>
      </c>
    </row>
    <row r="58" spans="1:21" customFormat="1" ht="12.75" customHeight="1">
      <c r="A58" s="138">
        <v>5189</v>
      </c>
      <c r="B58" s="206">
        <f t="shared" si="24"/>
        <v>45000.01</v>
      </c>
      <c r="C58" s="61"/>
      <c r="D58" s="61"/>
      <c r="E58" s="61"/>
      <c r="F58" s="139">
        <f t="shared" si="25"/>
        <v>60000</v>
      </c>
      <c r="G58" s="264">
        <f t="shared" si="26"/>
        <v>265.17500000000001</v>
      </c>
      <c r="H58" s="203">
        <f>TabelaMatriz!$I$9/2</f>
        <v>5.1749999999999998</v>
      </c>
      <c r="I58" s="149">
        <f>TabelaMatriz!$I$10*2/2</f>
        <v>12</v>
      </c>
      <c r="J58" s="149">
        <v>10.58</v>
      </c>
      <c r="K58" s="149">
        <f t="shared" si="27"/>
        <v>292.93</v>
      </c>
      <c r="L58" s="203">
        <f t="shared" si="28"/>
        <v>5.51</v>
      </c>
      <c r="M58" s="203">
        <f t="shared" si="29"/>
        <v>58.58</v>
      </c>
      <c r="N58" s="203">
        <f t="shared" si="30"/>
        <v>14.64</v>
      </c>
      <c r="O58" s="203">
        <f t="shared" si="31"/>
        <v>14.64</v>
      </c>
      <c r="P58" s="203">
        <f t="shared" si="32"/>
        <v>11.71</v>
      </c>
      <c r="Q58" s="203">
        <v>11.71</v>
      </c>
      <c r="R58" s="203">
        <v>0</v>
      </c>
      <c r="S58" s="203">
        <v>0</v>
      </c>
      <c r="T58" s="263">
        <f>TabelaMatriz!$I$293</f>
        <v>26.939999999999998</v>
      </c>
      <c r="U58" s="204">
        <f t="shared" si="33"/>
        <v>436.65999999999991</v>
      </c>
    </row>
    <row r="59" spans="1:21" customFormat="1" ht="13.5" customHeight="1">
      <c r="A59" s="138">
        <v>5190</v>
      </c>
      <c r="B59" s="206">
        <f t="shared" si="24"/>
        <v>60000.01</v>
      </c>
      <c r="C59" s="61"/>
      <c r="D59" s="61"/>
      <c r="E59" s="61"/>
      <c r="F59" s="139">
        <f t="shared" si="25"/>
        <v>80000</v>
      </c>
      <c r="G59" s="264">
        <f t="shared" si="26"/>
        <v>470</v>
      </c>
      <c r="H59" s="203">
        <f>TabelaMatriz!$I$9/2</f>
        <v>5.1749999999999998</v>
      </c>
      <c r="I59" s="149">
        <f>TabelaMatriz!$I$10*2/2</f>
        <v>12</v>
      </c>
      <c r="J59" s="149">
        <v>10.58</v>
      </c>
      <c r="K59" s="149">
        <f t="shared" si="27"/>
        <v>497.755</v>
      </c>
      <c r="L59" s="203">
        <f t="shared" si="28"/>
        <v>9.61</v>
      </c>
      <c r="M59" s="203">
        <f t="shared" si="29"/>
        <v>99.55</v>
      </c>
      <c r="N59" s="203">
        <f t="shared" si="30"/>
        <v>24.88</v>
      </c>
      <c r="O59" s="203">
        <f t="shared" si="31"/>
        <v>24.88</v>
      </c>
      <c r="P59" s="203">
        <f t="shared" si="32"/>
        <v>19.91</v>
      </c>
      <c r="Q59" s="203">
        <v>19.91</v>
      </c>
      <c r="R59" s="203">
        <v>0</v>
      </c>
      <c r="S59" s="203">
        <v>0</v>
      </c>
      <c r="T59" s="263">
        <f>TabelaMatriz!$I$293</f>
        <v>26.939999999999998</v>
      </c>
      <c r="U59" s="204">
        <f t="shared" si="33"/>
        <v>723.43499999999995</v>
      </c>
    </row>
    <row r="60" spans="1:21" customFormat="1" ht="12.75">
      <c r="A60" s="138">
        <v>5191</v>
      </c>
      <c r="B60" s="206">
        <f t="shared" si="24"/>
        <v>80000.009999999995</v>
      </c>
      <c r="C60" s="61"/>
      <c r="D60" s="61"/>
      <c r="E60" s="61"/>
      <c r="F60" s="139">
        <f t="shared" si="25"/>
        <v>100000</v>
      </c>
      <c r="G60" s="264">
        <f t="shared" si="26"/>
        <v>554.86500000000001</v>
      </c>
      <c r="H60" s="203">
        <f>TabelaMatriz!$I$9/2</f>
        <v>5.1749999999999998</v>
      </c>
      <c r="I60" s="149">
        <f>TabelaMatriz!$I$10*2/2</f>
        <v>12</v>
      </c>
      <c r="J60" s="149">
        <v>10.58</v>
      </c>
      <c r="K60" s="149">
        <f t="shared" si="27"/>
        <v>582.62</v>
      </c>
      <c r="L60" s="203">
        <f t="shared" si="28"/>
        <v>11.3</v>
      </c>
      <c r="M60" s="203">
        <f t="shared" si="29"/>
        <v>116.52</v>
      </c>
      <c r="N60" s="203">
        <f t="shared" si="30"/>
        <v>29.13</v>
      </c>
      <c r="O60" s="203">
        <f t="shared" si="31"/>
        <v>29.13</v>
      </c>
      <c r="P60" s="203">
        <f t="shared" si="32"/>
        <v>23.3</v>
      </c>
      <c r="Q60" s="203">
        <v>23.3</v>
      </c>
      <c r="R60" s="203">
        <v>0</v>
      </c>
      <c r="S60" s="203">
        <v>0</v>
      </c>
      <c r="T60" s="263">
        <f>TabelaMatriz!$I$293</f>
        <v>26.939999999999998</v>
      </c>
      <c r="U60" s="204">
        <f t="shared" si="33"/>
        <v>842.23999999999978</v>
      </c>
    </row>
    <row r="61" spans="1:21" customFormat="1" ht="12.75">
      <c r="A61" s="138">
        <v>5192</v>
      </c>
      <c r="B61" s="206">
        <f t="shared" si="24"/>
        <v>100000.01</v>
      </c>
      <c r="C61" s="61"/>
      <c r="D61" s="61"/>
      <c r="E61" s="61"/>
      <c r="F61" s="139">
        <f t="shared" si="25"/>
        <v>200000</v>
      </c>
      <c r="G61" s="264">
        <f t="shared" si="26"/>
        <v>750.69500000000005</v>
      </c>
      <c r="H61" s="203">
        <f>TabelaMatriz!$I$9/2</f>
        <v>5.1749999999999998</v>
      </c>
      <c r="I61" s="149">
        <f>TabelaMatriz!$I$10*2/2</f>
        <v>12</v>
      </c>
      <c r="J61" s="149">
        <v>10.58</v>
      </c>
      <c r="K61" s="149">
        <f t="shared" si="27"/>
        <v>778.45</v>
      </c>
      <c r="L61" s="203">
        <f t="shared" si="28"/>
        <v>15.22</v>
      </c>
      <c r="M61" s="203">
        <f t="shared" si="29"/>
        <v>155.69</v>
      </c>
      <c r="N61" s="203">
        <f t="shared" si="30"/>
        <v>38.92</v>
      </c>
      <c r="O61" s="203">
        <f t="shared" si="31"/>
        <v>38.92</v>
      </c>
      <c r="P61" s="203">
        <f t="shared" si="32"/>
        <v>31.13</v>
      </c>
      <c r="Q61" s="203">
        <v>31.13</v>
      </c>
      <c r="R61" s="203">
        <v>0</v>
      </c>
      <c r="S61" s="203">
        <v>0</v>
      </c>
      <c r="T61" s="263">
        <f>TabelaMatriz!$I$293</f>
        <v>26.939999999999998</v>
      </c>
      <c r="U61" s="204">
        <f t="shared" si="33"/>
        <v>1116.4000000000003</v>
      </c>
    </row>
    <row r="62" spans="1:21" customFormat="1" ht="12.75">
      <c r="A62" s="138">
        <v>5193</v>
      </c>
      <c r="B62" s="206">
        <f t="shared" si="24"/>
        <v>200000.01</v>
      </c>
      <c r="C62" s="61"/>
      <c r="D62" s="61"/>
      <c r="E62" s="61"/>
      <c r="F62" s="139">
        <f t="shared" si="25"/>
        <v>400000</v>
      </c>
      <c r="G62" s="264">
        <f t="shared" si="26"/>
        <v>807.83</v>
      </c>
      <c r="H62" s="203">
        <f>TabelaMatriz!$I$9/2</f>
        <v>5.1749999999999998</v>
      </c>
      <c r="I62" s="149">
        <f>TabelaMatriz!$I$10*2/2</f>
        <v>12</v>
      </c>
      <c r="J62" s="149">
        <v>10.58</v>
      </c>
      <c r="K62" s="149">
        <f>SUM(G62:J62)</f>
        <v>835.58500000000004</v>
      </c>
      <c r="L62" s="203">
        <f>TRUNC((G62+J62)*2%,2)</f>
        <v>16.36</v>
      </c>
      <c r="M62" s="203">
        <f t="shared" si="29"/>
        <v>167.11</v>
      </c>
      <c r="N62" s="203">
        <f t="shared" si="30"/>
        <v>41.77</v>
      </c>
      <c r="O62" s="203">
        <f t="shared" si="31"/>
        <v>41.77</v>
      </c>
      <c r="P62" s="203">
        <f t="shared" si="32"/>
        <v>33.42</v>
      </c>
      <c r="Q62" s="203">
        <v>33.42</v>
      </c>
      <c r="R62" s="203">
        <v>0</v>
      </c>
      <c r="S62" s="203">
        <v>0</v>
      </c>
      <c r="T62" s="263">
        <f>TabelaMatriz!$I$293</f>
        <v>26.939999999999998</v>
      </c>
      <c r="U62" s="204">
        <f>SUM(K62:T62)</f>
        <v>1196.3750000000002</v>
      </c>
    </row>
    <row r="63" spans="1:21" customFormat="1" ht="12.75">
      <c r="A63" s="138">
        <v>5194</v>
      </c>
      <c r="B63" s="682" t="s">
        <v>309</v>
      </c>
      <c r="C63" s="683"/>
      <c r="D63" s="683"/>
      <c r="E63" s="683"/>
      <c r="F63" s="139"/>
      <c r="G63" s="237"/>
      <c r="H63" s="203"/>
      <c r="I63" s="149"/>
      <c r="J63" s="149"/>
      <c r="K63" s="149"/>
      <c r="L63" s="203"/>
      <c r="M63" s="203"/>
      <c r="N63" s="203"/>
      <c r="O63" s="203"/>
      <c r="P63" s="203"/>
      <c r="Q63" s="203"/>
      <c r="R63" s="203"/>
      <c r="S63" s="203"/>
      <c r="T63" s="209"/>
      <c r="U63" s="204"/>
    </row>
    <row r="64" spans="1:21" s="1" customFormat="1" ht="16.5" customHeight="1">
      <c r="A64" s="140"/>
      <c r="B64" s="684" t="s">
        <v>345</v>
      </c>
      <c r="C64" s="685"/>
      <c r="D64" s="685"/>
      <c r="E64" s="685"/>
      <c r="F64" s="686"/>
      <c r="G64" s="237">
        <f>TRUNC(G34,2)/2</f>
        <v>72.375</v>
      </c>
      <c r="H64" s="203"/>
      <c r="I64" s="148" t="s">
        <v>34</v>
      </c>
      <c r="J64" s="148"/>
      <c r="K64" s="149">
        <f>SUM(G64:J64)</f>
        <v>72.375</v>
      </c>
      <c r="L64" s="203">
        <f>TRUNC((G64+J64)*2%,2)</f>
        <v>1.44</v>
      </c>
      <c r="M64" s="203">
        <f t="shared" si="29"/>
        <v>14.47</v>
      </c>
      <c r="N64" s="203">
        <f t="shared" si="30"/>
        <v>3.61</v>
      </c>
      <c r="O64" s="203">
        <f t="shared" si="31"/>
        <v>3.61</v>
      </c>
      <c r="P64" s="203">
        <f t="shared" si="32"/>
        <v>2.89</v>
      </c>
      <c r="Q64" s="203">
        <v>2.89</v>
      </c>
      <c r="R64" s="203" t="s">
        <v>34</v>
      </c>
      <c r="S64" s="203" t="s">
        <v>34</v>
      </c>
      <c r="T64" s="112" t="s">
        <v>34</v>
      </c>
      <c r="U64" s="204">
        <f>SUM(K64:T64)</f>
        <v>101.285</v>
      </c>
    </row>
    <row r="65" spans="1:21" s="1" customFormat="1" ht="16.5" customHeight="1">
      <c r="A65" s="140"/>
      <c r="B65" s="684" t="str">
        <f>B49</f>
        <v>Obs.2 - O valor máximo dos emolumentos não pode ultrapassar a Metade do valor da Taxa Judiciária Máxima</v>
      </c>
      <c r="C65" s="685"/>
      <c r="D65" s="685"/>
      <c r="E65" s="685"/>
      <c r="F65" s="685"/>
      <c r="G65" s="685"/>
      <c r="H65" s="685"/>
      <c r="I65" s="685"/>
      <c r="J65" s="685"/>
      <c r="K65" s="685"/>
      <c r="L65" s="685"/>
      <c r="M65" s="685"/>
      <c r="N65" s="685"/>
      <c r="O65" s="685"/>
      <c r="P65" s="685"/>
      <c r="Q65" s="685"/>
      <c r="R65" s="685"/>
      <c r="S65" s="685"/>
      <c r="T65" s="685"/>
      <c r="U65" s="204"/>
    </row>
    <row r="66" spans="1:21" customFormat="1" ht="14.25" customHeight="1" thickBot="1">
      <c r="A66" s="138"/>
      <c r="B66" s="210"/>
      <c r="C66" s="93"/>
      <c r="D66" s="93"/>
      <c r="E66" s="93"/>
      <c r="F66" s="93"/>
      <c r="G66" s="149"/>
      <c r="H66" s="149"/>
      <c r="I66" s="149"/>
      <c r="J66" s="149"/>
      <c r="K66" s="149"/>
      <c r="L66" s="141"/>
      <c r="M66" s="28"/>
      <c r="N66" s="1"/>
      <c r="O66" s="1"/>
      <c r="P66" s="1"/>
      <c r="Q66" s="1"/>
      <c r="R66" s="1"/>
      <c r="S66" s="1"/>
      <c r="T66" s="1"/>
      <c r="U66" s="211"/>
    </row>
    <row r="67" spans="1:21" customFormat="1" ht="15" customHeight="1">
      <c r="A67" s="138"/>
      <c r="B67" s="701" t="s">
        <v>63</v>
      </c>
      <c r="C67" s="513"/>
      <c r="D67" s="513"/>
      <c r="E67" s="513"/>
      <c r="F67" s="513"/>
      <c r="G67" s="514"/>
      <c r="H67" s="229" t="s">
        <v>300</v>
      </c>
      <c r="I67" s="136" t="s">
        <v>239</v>
      </c>
      <c r="J67" s="240" t="s">
        <v>303</v>
      </c>
      <c r="K67" s="650" t="s">
        <v>241</v>
      </c>
      <c r="L67" s="311">
        <v>0.02</v>
      </c>
      <c r="M67" s="314">
        <v>0.2</v>
      </c>
      <c r="N67" s="311">
        <v>0.05</v>
      </c>
      <c r="O67" s="311">
        <v>0.05</v>
      </c>
      <c r="P67" s="311">
        <v>0.04</v>
      </c>
      <c r="Q67" s="639" t="s">
        <v>488</v>
      </c>
      <c r="R67" s="282" t="s">
        <v>347</v>
      </c>
      <c r="S67" s="282" t="s">
        <v>348</v>
      </c>
      <c r="T67" s="624" t="s">
        <v>37</v>
      </c>
      <c r="U67" s="702" t="s">
        <v>3</v>
      </c>
    </row>
    <row r="68" spans="1:21" customFormat="1" ht="15.75" customHeight="1" thickBot="1">
      <c r="A68" s="138"/>
      <c r="B68" s="644" t="s">
        <v>468</v>
      </c>
      <c r="C68" s="645"/>
      <c r="D68" s="645"/>
      <c r="E68" s="645"/>
      <c r="F68" s="645"/>
      <c r="G68" s="646"/>
      <c r="H68" s="230" t="s">
        <v>234</v>
      </c>
      <c r="I68" s="119" t="s">
        <v>240</v>
      </c>
      <c r="J68" s="239" t="s">
        <v>304</v>
      </c>
      <c r="K68" s="651"/>
      <c r="L68" s="313" t="s">
        <v>349</v>
      </c>
      <c r="M68" s="315" t="s">
        <v>350</v>
      </c>
      <c r="N68" s="313" t="s">
        <v>351</v>
      </c>
      <c r="O68" s="313" t="s">
        <v>352</v>
      </c>
      <c r="P68" s="313" t="s">
        <v>355</v>
      </c>
      <c r="Q68" s="640"/>
      <c r="R68" s="313" t="s">
        <v>353</v>
      </c>
      <c r="S68" s="313" t="s">
        <v>354</v>
      </c>
      <c r="T68" s="625"/>
      <c r="U68" s="703"/>
    </row>
    <row r="69" spans="1:21" customFormat="1" ht="7.5" customHeight="1">
      <c r="A69" s="138"/>
      <c r="B69" s="212"/>
      <c r="C69" s="56"/>
      <c r="D69" s="56"/>
      <c r="E69" s="56"/>
      <c r="F69" s="56"/>
      <c r="G69" s="227"/>
      <c r="H69" s="227"/>
      <c r="I69" s="227"/>
      <c r="J69" s="227"/>
      <c r="K69" s="149"/>
      <c r="L69" s="141"/>
      <c r="M69" s="28"/>
      <c r="N69" s="1"/>
      <c r="O69" s="1"/>
      <c r="P69" s="1"/>
      <c r="Q69" s="1"/>
      <c r="R69" s="1"/>
      <c r="S69" s="1"/>
      <c r="T69" s="1"/>
      <c r="U69" s="211"/>
    </row>
    <row r="70" spans="1:21" customFormat="1" ht="15">
      <c r="A70" s="138"/>
      <c r="B70" s="212" t="s">
        <v>25</v>
      </c>
      <c r="C70" s="20"/>
      <c r="D70" s="20"/>
      <c r="E70" s="20"/>
      <c r="F70" s="56" t="s">
        <v>26</v>
      </c>
      <c r="G70" s="149"/>
      <c r="H70" s="149"/>
      <c r="I70" s="149"/>
      <c r="J70" s="149"/>
      <c r="K70" s="149"/>
      <c r="L70" s="141"/>
      <c r="M70" s="28"/>
      <c r="N70" s="1"/>
      <c r="O70" s="1"/>
      <c r="P70" s="1"/>
      <c r="Q70" s="1"/>
      <c r="R70" s="1"/>
      <c r="S70" s="1"/>
      <c r="T70" s="1"/>
      <c r="U70" s="211"/>
    </row>
    <row r="71" spans="1:21" customFormat="1" ht="12.75">
      <c r="A71" s="138">
        <v>5195</v>
      </c>
      <c r="B71" s="207">
        <v>0.01</v>
      </c>
      <c r="C71" s="93"/>
      <c r="D71" s="93"/>
      <c r="E71" s="93"/>
      <c r="F71" s="47">
        <v>100000</v>
      </c>
      <c r="G71" s="237">
        <f>TabelaMatriz!I61</f>
        <v>1216.8499999999999</v>
      </c>
      <c r="H71" s="203">
        <f>TabelaMatriz!$I$9</f>
        <v>10.35</v>
      </c>
      <c r="I71" s="148" t="s">
        <v>34</v>
      </c>
      <c r="J71" s="149">
        <v>21.17</v>
      </c>
      <c r="K71" s="149">
        <f t="shared" ref="K71:K76" si="34">SUM(G71:J71)</f>
        <v>1248.3699999999999</v>
      </c>
      <c r="L71" s="203">
        <f t="shared" ref="L71:L76" si="35">TRUNC((G71+J71)*2%,2)</f>
        <v>24.76</v>
      </c>
      <c r="M71" s="203">
        <f>TRUNC(K71*20%,2)</f>
        <v>249.67</v>
      </c>
      <c r="N71" s="203">
        <f>TRUNC(K71*5%,2)</f>
        <v>62.41</v>
      </c>
      <c r="O71" s="203">
        <f t="shared" ref="O71:O76" si="36">N71</f>
        <v>62.41</v>
      </c>
      <c r="P71" s="203">
        <f>TRUNC(K71*4%,2)</f>
        <v>49.93</v>
      </c>
      <c r="Q71" s="203">
        <v>49.93</v>
      </c>
      <c r="R71" s="203">
        <v>0</v>
      </c>
      <c r="S71" s="203">
        <v>0</v>
      </c>
      <c r="T71" s="93" t="s">
        <v>34</v>
      </c>
      <c r="U71" s="204">
        <f t="shared" ref="U71:U76" si="37">SUM(K71:T71)</f>
        <v>1747.4800000000002</v>
      </c>
    </row>
    <row r="72" spans="1:21" customFormat="1" ht="12.75">
      <c r="A72" s="138">
        <v>5196</v>
      </c>
      <c r="B72" s="207" t="s">
        <v>65</v>
      </c>
      <c r="C72" s="93"/>
      <c r="D72" s="93"/>
      <c r="E72" s="93"/>
      <c r="F72" s="47">
        <v>500000</v>
      </c>
      <c r="G72" s="237">
        <f>TabelaMatriz!I62</f>
        <v>1952.01</v>
      </c>
      <c r="H72" s="203">
        <f>TabelaMatriz!$I$9</f>
        <v>10.35</v>
      </c>
      <c r="I72" s="148" t="s">
        <v>34</v>
      </c>
      <c r="J72" s="149">
        <v>21.17</v>
      </c>
      <c r="K72" s="149">
        <f t="shared" si="34"/>
        <v>1983.53</v>
      </c>
      <c r="L72" s="203">
        <f t="shared" si="35"/>
        <v>39.46</v>
      </c>
      <c r="M72" s="203">
        <f>TRUNC(K72*20%,2)</f>
        <v>396.7</v>
      </c>
      <c r="N72" s="203">
        <f>TRUNC(K72*5%,2)</f>
        <v>99.17</v>
      </c>
      <c r="O72" s="203">
        <f t="shared" si="36"/>
        <v>99.17</v>
      </c>
      <c r="P72" s="203">
        <f>TRUNC(K72*4%,2)</f>
        <v>79.34</v>
      </c>
      <c r="Q72" s="203">
        <v>79.34</v>
      </c>
      <c r="R72" s="203">
        <v>0</v>
      </c>
      <c r="S72" s="203">
        <v>0</v>
      </c>
      <c r="T72" s="93" t="s">
        <v>34</v>
      </c>
      <c r="U72" s="204">
        <f t="shared" si="37"/>
        <v>2776.7100000000005</v>
      </c>
    </row>
    <row r="73" spans="1:21" customFormat="1" ht="12.75">
      <c r="A73" s="138">
        <v>5197</v>
      </c>
      <c r="B73" s="207">
        <v>500000.01</v>
      </c>
      <c r="C73" s="93"/>
      <c r="D73" s="93"/>
      <c r="E73" s="93"/>
      <c r="F73" s="47">
        <v>800000</v>
      </c>
      <c r="G73" s="237">
        <f>TabelaMatriz!I63</f>
        <v>2715.8</v>
      </c>
      <c r="H73" s="203">
        <f>TabelaMatriz!$I$9</f>
        <v>10.35</v>
      </c>
      <c r="I73" s="148" t="s">
        <v>34</v>
      </c>
      <c r="J73" s="149">
        <v>21.17</v>
      </c>
      <c r="K73" s="149">
        <f t="shared" si="34"/>
        <v>2747.32</v>
      </c>
      <c r="L73" s="203">
        <f t="shared" si="35"/>
        <v>54.73</v>
      </c>
      <c r="M73" s="203">
        <f>TRUNC(K73*20%,2)</f>
        <v>549.46</v>
      </c>
      <c r="N73" s="203">
        <f>TRUNC(K73*5%,2)</f>
        <v>137.36000000000001</v>
      </c>
      <c r="O73" s="203">
        <f t="shared" si="36"/>
        <v>137.36000000000001</v>
      </c>
      <c r="P73" s="203">
        <f>TRUNC(K73*4%,2)</f>
        <v>109.89</v>
      </c>
      <c r="Q73" s="203">
        <v>109.89</v>
      </c>
      <c r="R73" s="203">
        <v>0</v>
      </c>
      <c r="S73" s="203">
        <v>0</v>
      </c>
      <c r="T73" s="93" t="s">
        <v>34</v>
      </c>
      <c r="U73" s="204">
        <f t="shared" si="37"/>
        <v>3846.01</v>
      </c>
    </row>
    <row r="74" spans="1:21" customFormat="1" ht="12.75">
      <c r="A74" s="138">
        <v>5198</v>
      </c>
      <c r="B74" s="207">
        <v>800000.01</v>
      </c>
      <c r="C74" s="93"/>
      <c r="D74" s="93"/>
      <c r="E74" s="93"/>
      <c r="F74" s="47">
        <v>1000000</v>
      </c>
      <c r="G74" s="237">
        <f>TabelaMatriz!I64</f>
        <v>3097.68</v>
      </c>
      <c r="H74" s="203">
        <f>TabelaMatriz!$I$9</f>
        <v>10.35</v>
      </c>
      <c r="I74" s="148" t="s">
        <v>34</v>
      </c>
      <c r="J74" s="149">
        <v>21.17</v>
      </c>
      <c r="K74" s="149">
        <f t="shared" si="34"/>
        <v>3129.2</v>
      </c>
      <c r="L74" s="203">
        <f t="shared" si="35"/>
        <v>62.37</v>
      </c>
      <c r="M74" s="203">
        <f>TRUNC(K74*20%,2)</f>
        <v>625.84</v>
      </c>
      <c r="N74" s="203">
        <f>TRUNC(K74*5%,2)</f>
        <v>156.46</v>
      </c>
      <c r="O74" s="203">
        <f t="shared" si="36"/>
        <v>156.46</v>
      </c>
      <c r="P74" s="203">
        <f>TRUNC(K74*4%,2)</f>
        <v>125.16</v>
      </c>
      <c r="Q74" s="203">
        <v>125.16</v>
      </c>
      <c r="R74" s="203">
        <v>0</v>
      </c>
      <c r="S74" s="203">
        <v>0</v>
      </c>
      <c r="T74" s="93" t="s">
        <v>34</v>
      </c>
      <c r="U74" s="204">
        <f t="shared" si="37"/>
        <v>4380.6499999999996</v>
      </c>
    </row>
    <row r="75" spans="1:21" customFormat="1" ht="12.75">
      <c r="A75" s="138">
        <v>5199</v>
      </c>
      <c r="B75" s="210" t="s">
        <v>310</v>
      </c>
      <c r="C75" s="93"/>
      <c r="D75" s="213"/>
      <c r="E75" s="213"/>
      <c r="F75" s="67"/>
      <c r="G75" s="237"/>
      <c r="H75" s="203"/>
      <c r="I75" s="203"/>
      <c r="J75" s="203"/>
      <c r="K75" s="149"/>
      <c r="L75" s="203"/>
      <c r="M75" s="203"/>
      <c r="N75" s="203"/>
      <c r="O75" s="203"/>
      <c r="P75" s="203"/>
      <c r="Q75" s="203"/>
      <c r="R75" s="203"/>
      <c r="S75" s="203"/>
      <c r="T75" s="93"/>
      <c r="U75" s="204"/>
    </row>
    <row r="76" spans="1:21" customFormat="1" ht="21.75" customHeight="1">
      <c r="A76" s="138"/>
      <c r="B76" s="684" t="s">
        <v>345</v>
      </c>
      <c r="C76" s="685"/>
      <c r="D76" s="685"/>
      <c r="E76" s="685"/>
      <c r="F76" s="686"/>
      <c r="G76" s="237">
        <f>TabelaMatriz!I66</f>
        <v>144.75</v>
      </c>
      <c r="H76" s="203"/>
      <c r="I76" s="148" t="s">
        <v>34</v>
      </c>
      <c r="J76" s="148"/>
      <c r="K76" s="149">
        <f t="shared" si="34"/>
        <v>144.75</v>
      </c>
      <c r="L76" s="203">
        <f t="shared" si="35"/>
        <v>2.89</v>
      </c>
      <c r="M76" s="203">
        <f>TRUNC(K76*20%,2)</f>
        <v>28.95</v>
      </c>
      <c r="N76" s="203">
        <f>TRUNC(K76*5%,2)</f>
        <v>7.23</v>
      </c>
      <c r="O76" s="203">
        <f t="shared" si="36"/>
        <v>7.23</v>
      </c>
      <c r="P76" s="203">
        <f>TRUNC(K76*4%,2)</f>
        <v>5.79</v>
      </c>
      <c r="Q76" s="203">
        <v>5.79</v>
      </c>
      <c r="R76" s="93" t="s">
        <v>34</v>
      </c>
      <c r="S76" s="93" t="s">
        <v>34</v>
      </c>
      <c r="T76" s="93" t="s">
        <v>34</v>
      </c>
      <c r="U76" s="204">
        <f t="shared" si="37"/>
        <v>202.62999999999994</v>
      </c>
    </row>
    <row r="77" spans="1:21" customFormat="1" ht="15.75" customHeight="1">
      <c r="A77" s="138"/>
      <c r="B77" s="684" t="str">
        <f>TabelaMatriz!B67</f>
        <v>Obs. 2 - O valor máximo dos emolumentos não poderá ultrapassar 4x o valor da Taxa Judiciária Máxima</v>
      </c>
      <c r="C77" s="685"/>
      <c r="D77" s="685"/>
      <c r="E77" s="685"/>
      <c r="F77" s="685"/>
      <c r="G77" s="685"/>
      <c r="H77" s="685"/>
      <c r="I77" s="685"/>
      <c r="J77" s="685"/>
      <c r="K77" s="685"/>
      <c r="L77" s="685"/>
      <c r="M77" s="685"/>
      <c r="N77" s="685"/>
      <c r="O77" s="685"/>
      <c r="P77" s="685"/>
      <c r="Q77" s="685"/>
      <c r="R77" s="685"/>
      <c r="S77" s="685"/>
      <c r="T77" s="685"/>
      <c r="U77" s="204"/>
    </row>
    <row r="78" spans="1:21" customFormat="1" ht="21" customHeight="1" thickBot="1">
      <c r="A78" s="2"/>
      <c r="B78" s="690"/>
      <c r="C78" s="691"/>
      <c r="D78" s="691"/>
      <c r="E78" s="691"/>
      <c r="F78" s="691"/>
      <c r="G78" s="141"/>
      <c r="H78" s="141"/>
      <c r="I78" s="141"/>
      <c r="J78" s="141"/>
      <c r="K78" s="149"/>
      <c r="L78" s="202"/>
      <c r="M78" s="1"/>
      <c r="N78" s="1"/>
      <c r="O78" s="1"/>
      <c r="P78" s="1"/>
      <c r="Q78" s="1"/>
      <c r="R78" s="1"/>
      <c r="S78" s="1"/>
      <c r="T78" s="1"/>
      <c r="U78" s="211"/>
    </row>
    <row r="79" spans="1:21" customFormat="1" ht="15" customHeight="1">
      <c r="A79" s="138"/>
      <c r="B79" s="701" t="s">
        <v>66</v>
      </c>
      <c r="C79" s="513"/>
      <c r="D79" s="513"/>
      <c r="E79" s="513"/>
      <c r="F79" s="513"/>
      <c r="G79" s="514"/>
      <c r="H79" s="229" t="s">
        <v>300</v>
      </c>
      <c r="I79" s="136" t="s">
        <v>239</v>
      </c>
      <c r="J79" s="240" t="s">
        <v>303</v>
      </c>
      <c r="K79" s="650" t="s">
        <v>241</v>
      </c>
      <c r="L79" s="311">
        <v>0.02</v>
      </c>
      <c r="M79" s="314">
        <v>0.2</v>
      </c>
      <c r="N79" s="311">
        <v>0.05</v>
      </c>
      <c r="O79" s="311">
        <v>0.05</v>
      </c>
      <c r="P79" s="311">
        <v>0.04</v>
      </c>
      <c r="Q79" s="639" t="s">
        <v>488</v>
      </c>
      <c r="R79" s="282" t="s">
        <v>347</v>
      </c>
      <c r="S79" s="282" t="s">
        <v>348</v>
      </c>
      <c r="T79" s="624" t="s">
        <v>37</v>
      </c>
      <c r="U79" s="622" t="s">
        <v>3</v>
      </c>
    </row>
    <row r="80" spans="1:21" customFormat="1" ht="22.5" customHeight="1" thickBot="1">
      <c r="A80" s="138"/>
      <c r="B80" s="644" t="s">
        <v>67</v>
      </c>
      <c r="C80" s="645"/>
      <c r="D80" s="645"/>
      <c r="E80" s="645"/>
      <c r="F80" s="645"/>
      <c r="G80" s="646"/>
      <c r="H80" s="230" t="s">
        <v>234</v>
      </c>
      <c r="I80" s="119" t="s">
        <v>240</v>
      </c>
      <c r="J80" s="239" t="s">
        <v>304</v>
      </c>
      <c r="K80" s="651"/>
      <c r="L80" s="313" t="s">
        <v>349</v>
      </c>
      <c r="M80" s="315" t="s">
        <v>350</v>
      </c>
      <c r="N80" s="313" t="s">
        <v>351</v>
      </c>
      <c r="O80" s="313" t="s">
        <v>352</v>
      </c>
      <c r="P80" s="313" t="s">
        <v>355</v>
      </c>
      <c r="Q80" s="640"/>
      <c r="R80" s="313" t="s">
        <v>353</v>
      </c>
      <c r="S80" s="313" t="s">
        <v>354</v>
      </c>
      <c r="T80" s="625"/>
      <c r="U80" s="623"/>
    </row>
    <row r="81" spans="1:21" customFormat="1" ht="12.75">
      <c r="A81" s="138"/>
      <c r="B81" s="207"/>
      <c r="C81" s="93"/>
      <c r="D81" s="213"/>
      <c r="E81" s="213"/>
      <c r="F81" s="67"/>
      <c r="G81" s="236" t="s">
        <v>252</v>
      </c>
      <c r="H81" s="149"/>
      <c r="I81" s="149"/>
      <c r="J81" s="149"/>
      <c r="K81" s="149"/>
      <c r="L81" s="141"/>
      <c r="M81" s="41"/>
      <c r="N81" s="1"/>
      <c r="O81" s="1"/>
      <c r="P81" s="1"/>
      <c r="Q81" s="1"/>
      <c r="R81" s="1"/>
      <c r="S81" s="1"/>
      <c r="T81" s="1"/>
      <c r="U81" s="214"/>
    </row>
    <row r="82" spans="1:21" customFormat="1" ht="18.75" customHeight="1">
      <c r="A82" s="138"/>
      <c r="B82" s="205" t="s">
        <v>25</v>
      </c>
      <c r="C82" s="20"/>
      <c r="D82" s="20"/>
      <c r="E82" s="20"/>
      <c r="F82" s="21" t="s">
        <v>26</v>
      </c>
      <c r="G82" s="236"/>
      <c r="H82" s="149"/>
      <c r="I82" s="149"/>
      <c r="J82" s="149"/>
      <c r="K82" s="149"/>
      <c r="L82" s="141"/>
      <c r="M82" s="41"/>
      <c r="N82" s="1"/>
      <c r="O82" s="1"/>
      <c r="P82" s="1"/>
      <c r="Q82" s="1"/>
      <c r="R82" s="1"/>
      <c r="S82" s="1"/>
      <c r="T82" s="1"/>
      <c r="U82" s="214"/>
    </row>
    <row r="83" spans="1:21" customFormat="1" ht="11.25" customHeight="1">
      <c r="A83" s="138">
        <v>5200</v>
      </c>
      <c r="B83" s="215">
        <v>0.01</v>
      </c>
      <c r="C83" s="61"/>
      <c r="D83" s="61"/>
      <c r="E83" s="61"/>
      <c r="F83" s="62">
        <v>15000</v>
      </c>
      <c r="G83" s="236">
        <f>TabelaMatriz!I73</f>
        <v>130.75</v>
      </c>
      <c r="H83" s="203">
        <f>TabelaMatriz!$I$9</f>
        <v>10.35</v>
      </c>
      <c r="I83" s="148" t="s">
        <v>34</v>
      </c>
      <c r="J83" s="149">
        <v>21.17</v>
      </c>
      <c r="K83" s="149">
        <f t="shared" ref="K83:K93" si="38">SUM(G83:J83)</f>
        <v>162.26999999999998</v>
      </c>
      <c r="L83" s="203">
        <f t="shared" ref="L83:L93" si="39">TRUNC((G83+J83)*2%,2)</f>
        <v>3.03</v>
      </c>
      <c r="M83" s="203">
        <f>TRUNC(K83*20%,2)</f>
        <v>32.450000000000003</v>
      </c>
      <c r="N83" s="203">
        <f>TRUNC(K83*5%,2)</f>
        <v>8.11</v>
      </c>
      <c r="O83" s="203">
        <f t="shared" ref="O83:O93" si="40">N83</f>
        <v>8.11</v>
      </c>
      <c r="P83" s="203">
        <f>TRUNC(K83*4%,2)</f>
        <v>6.49</v>
      </c>
      <c r="Q83" s="203">
        <v>6.49</v>
      </c>
      <c r="R83" s="203">
        <v>0</v>
      </c>
      <c r="S83" s="203">
        <v>0</v>
      </c>
      <c r="T83" s="93" t="s">
        <v>34</v>
      </c>
      <c r="U83" s="204">
        <f t="shared" ref="U83:U93" si="41">SUM(K83:T83)</f>
        <v>226.95000000000005</v>
      </c>
    </row>
    <row r="84" spans="1:21" customFormat="1" ht="15" customHeight="1">
      <c r="A84" s="138">
        <v>5201</v>
      </c>
      <c r="B84" s="207">
        <v>15000.01</v>
      </c>
      <c r="C84" s="93"/>
      <c r="D84" s="93"/>
      <c r="E84" s="93"/>
      <c r="F84" s="47">
        <v>30000</v>
      </c>
      <c r="G84" s="236">
        <f>TabelaMatriz!I74</f>
        <v>164.77</v>
      </c>
      <c r="H84" s="203">
        <f>TabelaMatriz!$I$9</f>
        <v>10.35</v>
      </c>
      <c r="I84" s="148" t="s">
        <v>34</v>
      </c>
      <c r="J84" s="149">
        <v>21.17</v>
      </c>
      <c r="K84" s="149">
        <f t="shared" si="38"/>
        <v>196.29000000000002</v>
      </c>
      <c r="L84" s="203">
        <f t="shared" si="39"/>
        <v>3.71</v>
      </c>
      <c r="M84" s="203">
        <f t="shared" ref="M84:M93" si="42">TRUNC(K84*20%,2)</f>
        <v>39.25</v>
      </c>
      <c r="N84" s="203">
        <f t="shared" ref="N84:N93" si="43">TRUNC(K84*5%,2)</f>
        <v>9.81</v>
      </c>
      <c r="O84" s="203">
        <f t="shared" si="40"/>
        <v>9.81</v>
      </c>
      <c r="P84" s="203">
        <f t="shared" ref="P84:P93" si="44">TRUNC(K84*4%,2)</f>
        <v>7.85</v>
      </c>
      <c r="Q84" s="203">
        <v>7.85</v>
      </c>
      <c r="R84" s="203">
        <v>0</v>
      </c>
      <c r="S84" s="203">
        <v>0</v>
      </c>
      <c r="T84" s="93" t="s">
        <v>34</v>
      </c>
      <c r="U84" s="204">
        <f t="shared" si="41"/>
        <v>274.57000000000005</v>
      </c>
    </row>
    <row r="85" spans="1:21" customFormat="1" ht="15" customHeight="1">
      <c r="A85" s="138">
        <v>5202</v>
      </c>
      <c r="B85" s="207">
        <v>30000.01</v>
      </c>
      <c r="C85" s="93"/>
      <c r="D85" s="93"/>
      <c r="E85" s="93"/>
      <c r="F85" s="47">
        <v>45000</v>
      </c>
      <c r="G85" s="236">
        <f>TabelaMatriz!I75</f>
        <v>232.68</v>
      </c>
      <c r="H85" s="203">
        <f>TabelaMatriz!$I$9</f>
        <v>10.35</v>
      </c>
      <c r="I85" s="148" t="s">
        <v>34</v>
      </c>
      <c r="J85" s="149">
        <v>21.17</v>
      </c>
      <c r="K85" s="149">
        <f t="shared" si="38"/>
        <v>264.2</v>
      </c>
      <c r="L85" s="203">
        <f t="shared" si="39"/>
        <v>5.07</v>
      </c>
      <c r="M85" s="203">
        <f t="shared" si="42"/>
        <v>52.84</v>
      </c>
      <c r="N85" s="203">
        <f t="shared" si="43"/>
        <v>13.21</v>
      </c>
      <c r="O85" s="203">
        <f t="shared" si="40"/>
        <v>13.21</v>
      </c>
      <c r="P85" s="203">
        <f t="shared" si="44"/>
        <v>10.56</v>
      </c>
      <c r="Q85" s="203">
        <v>10.56</v>
      </c>
      <c r="R85" s="203">
        <v>0</v>
      </c>
      <c r="S85" s="203">
        <v>0</v>
      </c>
      <c r="T85" s="93" t="s">
        <v>34</v>
      </c>
      <c r="U85" s="204">
        <f t="shared" si="41"/>
        <v>369.65</v>
      </c>
    </row>
    <row r="86" spans="1:21" customFormat="1" ht="15" customHeight="1">
      <c r="A86" s="138">
        <v>5203</v>
      </c>
      <c r="B86" s="207">
        <v>45000.01</v>
      </c>
      <c r="C86" s="93"/>
      <c r="D86" s="93"/>
      <c r="E86" s="93"/>
      <c r="F86" s="47">
        <v>60000</v>
      </c>
      <c r="G86" s="236">
        <f>TabelaMatriz!I76</f>
        <v>266.79000000000002</v>
      </c>
      <c r="H86" s="203">
        <f>TabelaMatriz!$I$9</f>
        <v>10.35</v>
      </c>
      <c r="I86" s="148" t="s">
        <v>34</v>
      </c>
      <c r="J86" s="149">
        <v>21.17</v>
      </c>
      <c r="K86" s="149">
        <f t="shared" si="38"/>
        <v>298.31000000000006</v>
      </c>
      <c r="L86" s="203">
        <f t="shared" si="39"/>
        <v>5.75</v>
      </c>
      <c r="M86" s="203">
        <f t="shared" si="42"/>
        <v>59.66</v>
      </c>
      <c r="N86" s="203">
        <f t="shared" si="43"/>
        <v>14.91</v>
      </c>
      <c r="O86" s="203">
        <f t="shared" si="40"/>
        <v>14.91</v>
      </c>
      <c r="P86" s="203">
        <f t="shared" si="44"/>
        <v>11.93</v>
      </c>
      <c r="Q86" s="203">
        <v>11.93</v>
      </c>
      <c r="R86" s="203">
        <v>0</v>
      </c>
      <c r="S86" s="203">
        <v>0</v>
      </c>
      <c r="T86" s="93" t="s">
        <v>34</v>
      </c>
      <c r="U86" s="204">
        <f t="shared" si="41"/>
        <v>417.40000000000009</v>
      </c>
    </row>
    <row r="87" spans="1:21" customFormat="1" ht="15" customHeight="1">
      <c r="A87" s="138">
        <v>5204</v>
      </c>
      <c r="B87" s="207">
        <v>60000.01</v>
      </c>
      <c r="C87" s="93"/>
      <c r="D87" s="93"/>
      <c r="E87" s="93"/>
      <c r="F87" s="47">
        <v>80000</v>
      </c>
      <c r="G87" s="236">
        <f>TabelaMatriz!I77</f>
        <v>334.78</v>
      </c>
      <c r="H87" s="203">
        <f>TabelaMatriz!$I$9</f>
        <v>10.35</v>
      </c>
      <c r="I87" s="148" t="s">
        <v>34</v>
      </c>
      <c r="J87" s="149">
        <v>21.17</v>
      </c>
      <c r="K87" s="149">
        <f t="shared" si="38"/>
        <v>366.3</v>
      </c>
      <c r="L87" s="203">
        <f t="shared" si="39"/>
        <v>7.11</v>
      </c>
      <c r="M87" s="203">
        <f t="shared" si="42"/>
        <v>73.260000000000005</v>
      </c>
      <c r="N87" s="203">
        <f t="shared" si="43"/>
        <v>18.309999999999999</v>
      </c>
      <c r="O87" s="203">
        <f t="shared" si="40"/>
        <v>18.309999999999999</v>
      </c>
      <c r="P87" s="203">
        <f t="shared" si="44"/>
        <v>14.65</v>
      </c>
      <c r="Q87" s="203">
        <v>14.65</v>
      </c>
      <c r="R87" s="203">
        <v>0</v>
      </c>
      <c r="S87" s="203">
        <v>0</v>
      </c>
      <c r="T87" s="93" t="s">
        <v>34</v>
      </c>
      <c r="U87" s="204">
        <f t="shared" si="41"/>
        <v>512.59</v>
      </c>
    </row>
    <row r="88" spans="1:21" customFormat="1" ht="12.75">
      <c r="A88" s="138">
        <v>5205</v>
      </c>
      <c r="B88" s="207">
        <v>80000.009999999995</v>
      </c>
      <c r="C88" s="93"/>
      <c r="D88" s="93"/>
      <c r="E88" s="93"/>
      <c r="F88" s="47">
        <v>100000</v>
      </c>
      <c r="G88" s="236">
        <f>TabelaMatriz!I78</f>
        <v>408.18</v>
      </c>
      <c r="H88" s="203">
        <f>TabelaMatriz!$I$9</f>
        <v>10.35</v>
      </c>
      <c r="I88" s="148" t="s">
        <v>34</v>
      </c>
      <c r="J88" s="149">
        <v>21.17</v>
      </c>
      <c r="K88" s="149">
        <f t="shared" si="38"/>
        <v>439.70000000000005</v>
      </c>
      <c r="L88" s="203">
        <f t="shared" si="39"/>
        <v>8.58</v>
      </c>
      <c r="M88" s="203">
        <f t="shared" si="42"/>
        <v>87.94</v>
      </c>
      <c r="N88" s="203">
        <f t="shared" si="43"/>
        <v>21.98</v>
      </c>
      <c r="O88" s="203">
        <f t="shared" si="40"/>
        <v>21.98</v>
      </c>
      <c r="P88" s="203">
        <f t="shared" si="44"/>
        <v>17.579999999999998</v>
      </c>
      <c r="Q88" s="203">
        <v>17.579999999999998</v>
      </c>
      <c r="R88" s="203">
        <v>0</v>
      </c>
      <c r="S88" s="203">
        <v>0</v>
      </c>
      <c r="T88" s="93" t="s">
        <v>34</v>
      </c>
      <c r="U88" s="204">
        <f t="shared" si="41"/>
        <v>615.34000000000015</v>
      </c>
    </row>
    <row r="89" spans="1:21" customFormat="1" ht="15" customHeight="1">
      <c r="A89" s="138">
        <v>5206</v>
      </c>
      <c r="B89" s="207">
        <v>100000.01</v>
      </c>
      <c r="C89" s="93"/>
      <c r="D89" s="93"/>
      <c r="E89" s="93"/>
      <c r="F89" s="47">
        <v>200000</v>
      </c>
      <c r="G89" s="236">
        <f>TabelaMatriz!I79</f>
        <v>481.39</v>
      </c>
      <c r="H89" s="203">
        <f>TabelaMatriz!$I$9</f>
        <v>10.35</v>
      </c>
      <c r="I89" s="148" t="s">
        <v>34</v>
      </c>
      <c r="J89" s="149">
        <v>21.17</v>
      </c>
      <c r="K89" s="149">
        <f t="shared" si="38"/>
        <v>512.91</v>
      </c>
      <c r="L89" s="203">
        <f t="shared" si="39"/>
        <v>10.050000000000001</v>
      </c>
      <c r="M89" s="203">
        <f t="shared" si="42"/>
        <v>102.58</v>
      </c>
      <c r="N89" s="203">
        <f t="shared" si="43"/>
        <v>25.64</v>
      </c>
      <c r="O89" s="203">
        <f t="shared" si="40"/>
        <v>25.64</v>
      </c>
      <c r="P89" s="203">
        <f t="shared" si="44"/>
        <v>20.51</v>
      </c>
      <c r="Q89" s="203">
        <v>20.51</v>
      </c>
      <c r="R89" s="203">
        <v>0</v>
      </c>
      <c r="S89" s="203">
        <v>0</v>
      </c>
      <c r="T89" s="93" t="s">
        <v>34</v>
      </c>
      <c r="U89" s="204">
        <f t="shared" si="41"/>
        <v>717.83999999999992</v>
      </c>
    </row>
    <row r="90" spans="1:21" customFormat="1" ht="15" customHeight="1">
      <c r="A90" s="138">
        <v>5207</v>
      </c>
      <c r="B90" s="207">
        <v>200000.01</v>
      </c>
      <c r="C90" s="93"/>
      <c r="D90" s="93"/>
      <c r="E90" s="93"/>
      <c r="F90" s="47">
        <v>400000</v>
      </c>
      <c r="G90" s="236">
        <f>TabelaMatriz!I80</f>
        <v>523.82000000000005</v>
      </c>
      <c r="H90" s="203">
        <f>TabelaMatriz!$I$9</f>
        <v>10.35</v>
      </c>
      <c r="I90" s="148" t="s">
        <v>34</v>
      </c>
      <c r="J90" s="149">
        <v>21.17</v>
      </c>
      <c r="K90" s="149">
        <f t="shared" si="38"/>
        <v>555.34</v>
      </c>
      <c r="L90" s="203">
        <f t="shared" si="39"/>
        <v>10.89</v>
      </c>
      <c r="M90" s="203">
        <f t="shared" si="42"/>
        <v>111.06</v>
      </c>
      <c r="N90" s="203">
        <f t="shared" si="43"/>
        <v>27.76</v>
      </c>
      <c r="O90" s="203">
        <f t="shared" si="40"/>
        <v>27.76</v>
      </c>
      <c r="P90" s="203">
        <f t="shared" si="44"/>
        <v>22.21</v>
      </c>
      <c r="Q90" s="203">
        <v>22.21</v>
      </c>
      <c r="R90" s="203">
        <v>0</v>
      </c>
      <c r="S90" s="203">
        <v>0</v>
      </c>
      <c r="T90" s="93" t="s">
        <v>34</v>
      </c>
      <c r="U90" s="204">
        <f t="shared" si="41"/>
        <v>777.23</v>
      </c>
    </row>
    <row r="91" spans="1:21" customFormat="1" ht="15" customHeight="1">
      <c r="A91" s="138">
        <v>5208</v>
      </c>
      <c r="B91" s="250" t="s">
        <v>310</v>
      </c>
      <c r="C91" s="93"/>
      <c r="D91" s="93"/>
      <c r="E91" s="93"/>
      <c r="F91" s="47"/>
      <c r="G91" s="719"/>
      <c r="H91" s="203"/>
      <c r="I91" s="148"/>
      <c r="J91" s="149"/>
      <c r="K91" s="149"/>
      <c r="L91" s="203"/>
      <c r="M91" s="203"/>
      <c r="N91" s="203"/>
      <c r="O91" s="203"/>
      <c r="P91" s="203"/>
      <c r="Q91" s="203"/>
      <c r="R91" s="203"/>
      <c r="S91" s="203"/>
      <c r="T91" s="93"/>
      <c r="U91" s="204"/>
    </row>
    <row r="92" spans="1:21" customFormat="1" ht="5.25" customHeight="1">
      <c r="A92" s="138"/>
      <c r="B92" s="207"/>
      <c r="C92" s="93"/>
      <c r="D92" s="93"/>
      <c r="E92" s="93"/>
      <c r="F92" s="47"/>
      <c r="G92" s="666"/>
      <c r="H92" s="149"/>
      <c r="I92" s="149"/>
      <c r="J92" s="149"/>
      <c r="K92" s="149"/>
      <c r="L92" s="203"/>
      <c r="M92" s="203"/>
      <c r="N92" s="203"/>
      <c r="O92" s="203"/>
      <c r="P92" s="203"/>
      <c r="Q92" s="203"/>
      <c r="R92" s="203"/>
      <c r="S92" s="203"/>
      <c r="T92" s="93"/>
      <c r="U92" s="204"/>
    </row>
    <row r="93" spans="1:21" customFormat="1" ht="15.75" customHeight="1">
      <c r="A93" s="138"/>
      <c r="B93" s="684" t="s">
        <v>345</v>
      </c>
      <c r="C93" s="685"/>
      <c r="D93" s="685"/>
      <c r="E93" s="685"/>
      <c r="F93" s="686"/>
      <c r="G93" s="236">
        <f>TabelaMatriz!I82</f>
        <v>72.36</v>
      </c>
      <c r="H93" s="149"/>
      <c r="I93" s="148" t="s">
        <v>34</v>
      </c>
      <c r="J93" s="148"/>
      <c r="K93" s="149">
        <f t="shared" si="38"/>
        <v>72.36</v>
      </c>
      <c r="L93" s="203">
        <f t="shared" si="39"/>
        <v>1.44</v>
      </c>
      <c r="M93" s="203">
        <f t="shared" si="42"/>
        <v>14.47</v>
      </c>
      <c r="N93" s="203">
        <f t="shared" si="43"/>
        <v>3.61</v>
      </c>
      <c r="O93" s="203">
        <f t="shared" si="40"/>
        <v>3.61</v>
      </c>
      <c r="P93" s="203">
        <f t="shared" si="44"/>
        <v>2.89</v>
      </c>
      <c r="Q93" s="203">
        <v>2.89</v>
      </c>
      <c r="R93" s="112" t="s">
        <v>34</v>
      </c>
      <c r="S93" s="112" t="s">
        <v>34</v>
      </c>
      <c r="T93" s="112" t="s">
        <v>34</v>
      </c>
      <c r="U93" s="204">
        <f t="shared" si="41"/>
        <v>101.27</v>
      </c>
    </row>
    <row r="94" spans="1:21" customFormat="1" ht="24.75" customHeight="1">
      <c r="A94" s="138"/>
      <c r="B94" s="684" t="str">
        <f>TabelaMatriz!B83</f>
        <v>Obs.2 - O valor máximo dos emolumentos não pode ultrapassar a Metade do valor da Taxa Judiciária Máxima</v>
      </c>
      <c r="C94" s="685"/>
      <c r="D94" s="685"/>
      <c r="E94" s="685"/>
      <c r="F94" s="685"/>
      <c r="G94" s="685"/>
      <c r="H94" s="685"/>
      <c r="I94" s="685"/>
      <c r="J94" s="685"/>
      <c r="K94" s="685"/>
      <c r="L94" s="685"/>
      <c r="M94" s="685"/>
      <c r="N94" s="685"/>
      <c r="O94" s="685"/>
      <c r="P94" s="685"/>
      <c r="Q94" s="685"/>
      <c r="R94" s="685"/>
      <c r="S94" s="685"/>
      <c r="T94" s="685"/>
      <c r="U94" s="204"/>
    </row>
    <row r="95" spans="1:21" customFormat="1" ht="10.5" customHeight="1" thickBot="1">
      <c r="A95" s="138"/>
      <c r="B95" s="210"/>
      <c r="C95" s="93"/>
      <c r="D95" s="93"/>
      <c r="E95" s="93"/>
      <c r="F95" s="93"/>
      <c r="G95" s="149"/>
      <c r="H95" s="149"/>
      <c r="I95" s="149"/>
      <c r="J95" s="149"/>
      <c r="K95" s="149"/>
      <c r="L95" s="203"/>
      <c r="M95" s="203"/>
      <c r="N95" s="203"/>
      <c r="O95" s="203"/>
      <c r="P95" s="203"/>
      <c r="Q95" s="203"/>
      <c r="R95" s="93"/>
      <c r="S95" s="93"/>
      <c r="T95" s="93"/>
      <c r="U95" s="214"/>
    </row>
    <row r="96" spans="1:21" customFormat="1" ht="15" customHeight="1">
      <c r="A96" s="138"/>
      <c r="B96" s="687" t="s">
        <v>66</v>
      </c>
      <c r="C96" s="688"/>
      <c r="D96" s="688"/>
      <c r="E96" s="688"/>
      <c r="F96" s="688"/>
      <c r="G96" s="689"/>
      <c r="H96" s="306" t="s">
        <v>300</v>
      </c>
      <c r="I96" s="136" t="s">
        <v>239</v>
      </c>
      <c r="J96" s="240" t="s">
        <v>303</v>
      </c>
      <c r="K96" s="650" t="s">
        <v>241</v>
      </c>
      <c r="L96" s="311">
        <v>0.02</v>
      </c>
      <c r="M96" s="314">
        <v>0.2</v>
      </c>
      <c r="N96" s="311">
        <v>0.05</v>
      </c>
      <c r="O96" s="311">
        <v>0.05</v>
      </c>
      <c r="P96" s="311">
        <v>0.04</v>
      </c>
      <c r="Q96" s="639" t="s">
        <v>488</v>
      </c>
      <c r="R96" s="282" t="s">
        <v>347</v>
      </c>
      <c r="S96" s="282" t="s">
        <v>348</v>
      </c>
      <c r="T96" s="624" t="s">
        <v>426</v>
      </c>
      <c r="U96" s="622" t="s">
        <v>3</v>
      </c>
    </row>
    <row r="97" spans="1:21" s="51" customFormat="1" ht="29.25" customHeight="1" thickBot="1">
      <c r="A97" s="8"/>
      <c r="B97" s="692" t="s">
        <v>336</v>
      </c>
      <c r="C97" s="693"/>
      <c r="D97" s="693"/>
      <c r="E97" s="693"/>
      <c r="F97" s="693"/>
      <c r="G97" s="694"/>
      <c r="H97" s="307" t="s">
        <v>305</v>
      </c>
      <c r="I97" s="119" t="s">
        <v>465</v>
      </c>
      <c r="J97" s="239" t="s">
        <v>304</v>
      </c>
      <c r="K97" s="651"/>
      <c r="L97" s="313" t="s">
        <v>349</v>
      </c>
      <c r="M97" s="315" t="s">
        <v>350</v>
      </c>
      <c r="N97" s="313" t="s">
        <v>351</v>
      </c>
      <c r="O97" s="313" t="s">
        <v>352</v>
      </c>
      <c r="P97" s="313" t="s">
        <v>355</v>
      </c>
      <c r="Q97" s="640"/>
      <c r="R97" s="313" t="s">
        <v>353</v>
      </c>
      <c r="S97" s="313" t="s">
        <v>354</v>
      </c>
      <c r="T97" s="625"/>
      <c r="U97" s="623"/>
    </row>
    <row r="98" spans="1:21" customFormat="1" ht="6.75" customHeight="1">
      <c r="A98" s="138"/>
      <c r="B98" s="212"/>
      <c r="C98" s="56"/>
      <c r="D98" s="56"/>
      <c r="E98" s="56"/>
      <c r="F98" s="56"/>
      <c r="G98" s="241"/>
      <c r="H98" s="227"/>
      <c r="I98" s="149"/>
      <c r="J98" s="149"/>
      <c r="K98" s="149"/>
      <c r="L98" s="141"/>
      <c r="M98" s="41"/>
      <c r="N98" s="1"/>
      <c r="O98" s="1"/>
      <c r="P98" s="1"/>
      <c r="Q98" s="1"/>
      <c r="R98" s="1"/>
      <c r="S98" s="1"/>
      <c r="T98" s="1"/>
      <c r="U98" s="211"/>
    </row>
    <row r="99" spans="1:21" customFormat="1" ht="15">
      <c r="A99" s="138"/>
      <c r="B99" s="205" t="s">
        <v>25</v>
      </c>
      <c r="C99" s="20"/>
      <c r="D99" s="20"/>
      <c r="E99" s="20"/>
      <c r="F99" s="21" t="s">
        <v>26</v>
      </c>
      <c r="G99" s="238"/>
      <c r="H99" s="149"/>
      <c r="I99" s="149"/>
      <c r="J99" s="149"/>
      <c r="K99" s="149"/>
      <c r="L99" s="141"/>
      <c r="M99" s="41"/>
      <c r="N99" s="1"/>
      <c r="O99" s="1"/>
      <c r="P99" s="1"/>
      <c r="Q99" s="1"/>
      <c r="R99" s="1"/>
      <c r="S99" s="1"/>
      <c r="T99" s="1"/>
      <c r="U99" s="214"/>
    </row>
    <row r="100" spans="1:21" customFormat="1" ht="11.25" customHeight="1">
      <c r="A100" s="138">
        <v>5200</v>
      </c>
      <c r="B100" s="215">
        <v>0.01</v>
      </c>
      <c r="C100" s="61"/>
      <c r="D100" s="61"/>
      <c r="E100" s="61"/>
      <c r="F100" s="62">
        <v>15000</v>
      </c>
      <c r="G100" s="236">
        <f>G83</f>
        <v>130.75</v>
      </c>
      <c r="H100" s="149">
        <f>TabelaMatriz!$I$9</f>
        <v>10.35</v>
      </c>
      <c r="I100" s="149">
        <f>TabelaMatriz!$I$10*2</f>
        <v>24</v>
      </c>
      <c r="J100" s="149">
        <v>21.17</v>
      </c>
      <c r="K100" s="149">
        <f t="shared" ref="K100:K109" si="45">SUM(G100:J100)</f>
        <v>186.26999999999998</v>
      </c>
      <c r="L100" s="203">
        <f t="shared" ref="L100:L109" si="46">TRUNC((G100+J100)*2%,2)</f>
        <v>3.03</v>
      </c>
      <c r="M100" s="203">
        <f>TRUNC(K100*20%,2)</f>
        <v>37.25</v>
      </c>
      <c r="N100" s="203">
        <f>TRUNC(K100*5%,2)</f>
        <v>9.31</v>
      </c>
      <c r="O100" s="203">
        <f t="shared" ref="O100:O109" si="47">N100</f>
        <v>9.31</v>
      </c>
      <c r="P100" s="203">
        <f>TRUNC(K100*4%,2)</f>
        <v>7.45</v>
      </c>
      <c r="Q100" s="203">
        <v>7.45</v>
      </c>
      <c r="R100" s="203">
        <v>0</v>
      </c>
      <c r="S100" s="203">
        <v>0</v>
      </c>
      <c r="T100" s="251">
        <f>TabelaMatriz!$I$293</f>
        <v>26.939999999999998</v>
      </c>
      <c r="U100" s="204">
        <f t="shared" ref="U100:U109" si="48">SUM(K100:T100)</f>
        <v>287.01</v>
      </c>
    </row>
    <row r="101" spans="1:21" customFormat="1" ht="15" customHeight="1">
      <c r="A101" s="138">
        <v>5201</v>
      </c>
      <c r="B101" s="207">
        <v>15000.01</v>
      </c>
      <c r="C101" s="93"/>
      <c r="D101" s="93"/>
      <c r="E101" s="93"/>
      <c r="F101" s="47">
        <v>30000</v>
      </c>
      <c r="G101" s="236">
        <f t="shared" ref="G101:G107" si="49">G84</f>
        <v>164.77</v>
      </c>
      <c r="H101" s="149">
        <f>TabelaMatriz!$I$9</f>
        <v>10.35</v>
      </c>
      <c r="I101" s="149">
        <f>TabelaMatriz!$I$10*2</f>
        <v>24</v>
      </c>
      <c r="J101" s="149">
        <v>21.17</v>
      </c>
      <c r="K101" s="149">
        <f t="shared" si="45"/>
        <v>220.29000000000002</v>
      </c>
      <c r="L101" s="203">
        <f t="shared" si="46"/>
        <v>3.71</v>
      </c>
      <c r="M101" s="203">
        <f t="shared" ref="M101:M109" si="50">TRUNC(K101*20%,2)</f>
        <v>44.05</v>
      </c>
      <c r="N101" s="203">
        <f t="shared" ref="N101:N109" si="51">TRUNC(K101*5%,2)</f>
        <v>11.01</v>
      </c>
      <c r="O101" s="203">
        <f t="shared" si="47"/>
        <v>11.01</v>
      </c>
      <c r="P101" s="203">
        <f t="shared" ref="P101:P109" si="52">TRUNC(K101*4%,2)</f>
        <v>8.81</v>
      </c>
      <c r="Q101" s="203">
        <v>8.81</v>
      </c>
      <c r="R101" s="203">
        <v>0</v>
      </c>
      <c r="S101" s="203">
        <v>0</v>
      </c>
      <c r="T101" s="251">
        <f>TabelaMatriz!$I$293</f>
        <v>26.939999999999998</v>
      </c>
      <c r="U101" s="204">
        <f t="shared" si="48"/>
        <v>334.63</v>
      </c>
    </row>
    <row r="102" spans="1:21" customFormat="1" ht="15" customHeight="1">
      <c r="A102" s="138">
        <v>5202</v>
      </c>
      <c r="B102" s="207">
        <v>30000.01</v>
      </c>
      <c r="C102" s="93"/>
      <c r="D102" s="93"/>
      <c r="E102" s="93"/>
      <c r="F102" s="47">
        <v>45000</v>
      </c>
      <c r="G102" s="236">
        <f t="shared" si="49"/>
        <v>232.68</v>
      </c>
      <c r="H102" s="149">
        <f>TabelaMatriz!$I$9</f>
        <v>10.35</v>
      </c>
      <c r="I102" s="149">
        <f>TabelaMatriz!$I$10*2</f>
        <v>24</v>
      </c>
      <c r="J102" s="149">
        <v>21.17</v>
      </c>
      <c r="K102" s="149">
        <f t="shared" si="45"/>
        <v>288.2</v>
      </c>
      <c r="L102" s="203">
        <f t="shared" si="46"/>
        <v>5.07</v>
      </c>
      <c r="M102" s="203">
        <f t="shared" si="50"/>
        <v>57.64</v>
      </c>
      <c r="N102" s="203">
        <f t="shared" si="51"/>
        <v>14.41</v>
      </c>
      <c r="O102" s="203">
        <f t="shared" si="47"/>
        <v>14.41</v>
      </c>
      <c r="P102" s="203">
        <f t="shared" si="52"/>
        <v>11.52</v>
      </c>
      <c r="Q102" s="203">
        <v>11.52</v>
      </c>
      <c r="R102" s="203">
        <v>0</v>
      </c>
      <c r="S102" s="203">
        <v>0</v>
      </c>
      <c r="T102" s="251">
        <f>TabelaMatriz!$I$293</f>
        <v>26.939999999999998</v>
      </c>
      <c r="U102" s="204">
        <f t="shared" si="48"/>
        <v>429.71</v>
      </c>
    </row>
    <row r="103" spans="1:21" customFormat="1" ht="15" customHeight="1">
      <c r="A103" s="138">
        <v>5203</v>
      </c>
      <c r="B103" s="207">
        <v>45000.01</v>
      </c>
      <c r="C103" s="93"/>
      <c r="D103" s="93"/>
      <c r="E103" s="93"/>
      <c r="F103" s="47">
        <v>60000</v>
      </c>
      <c r="G103" s="236">
        <f t="shared" si="49"/>
        <v>266.79000000000002</v>
      </c>
      <c r="H103" s="149">
        <f>TabelaMatriz!$I$9</f>
        <v>10.35</v>
      </c>
      <c r="I103" s="149">
        <f>TabelaMatriz!$I$10*2</f>
        <v>24</v>
      </c>
      <c r="J103" s="149">
        <v>21.17</v>
      </c>
      <c r="K103" s="149">
        <f t="shared" si="45"/>
        <v>322.31000000000006</v>
      </c>
      <c r="L103" s="203">
        <f t="shared" si="46"/>
        <v>5.75</v>
      </c>
      <c r="M103" s="203">
        <f t="shared" si="50"/>
        <v>64.459999999999994</v>
      </c>
      <c r="N103" s="203">
        <f t="shared" si="51"/>
        <v>16.11</v>
      </c>
      <c r="O103" s="203">
        <f t="shared" si="47"/>
        <v>16.11</v>
      </c>
      <c r="P103" s="203">
        <f t="shared" si="52"/>
        <v>12.89</v>
      </c>
      <c r="Q103" s="203">
        <v>12.89</v>
      </c>
      <c r="R103" s="203">
        <v>0</v>
      </c>
      <c r="S103" s="203">
        <v>0</v>
      </c>
      <c r="T103" s="251">
        <f>TabelaMatriz!$I$293</f>
        <v>26.939999999999998</v>
      </c>
      <c r="U103" s="204">
        <f t="shared" si="48"/>
        <v>477.46000000000004</v>
      </c>
    </row>
    <row r="104" spans="1:21" customFormat="1" ht="15" customHeight="1">
      <c r="A104" s="138">
        <v>5204</v>
      </c>
      <c r="B104" s="207">
        <v>60000.01</v>
      </c>
      <c r="C104" s="93"/>
      <c r="D104" s="93"/>
      <c r="E104" s="93"/>
      <c r="F104" s="47">
        <v>80000</v>
      </c>
      <c r="G104" s="236">
        <f t="shared" si="49"/>
        <v>334.78</v>
      </c>
      <c r="H104" s="149">
        <f>TabelaMatriz!$I$9</f>
        <v>10.35</v>
      </c>
      <c r="I104" s="149">
        <f>TabelaMatriz!$I$10*2</f>
        <v>24</v>
      </c>
      <c r="J104" s="149">
        <v>21.17</v>
      </c>
      <c r="K104" s="149">
        <f t="shared" si="45"/>
        <v>390.3</v>
      </c>
      <c r="L104" s="203">
        <f t="shared" si="46"/>
        <v>7.11</v>
      </c>
      <c r="M104" s="203">
        <f t="shared" si="50"/>
        <v>78.06</v>
      </c>
      <c r="N104" s="203">
        <f t="shared" si="51"/>
        <v>19.510000000000002</v>
      </c>
      <c r="O104" s="203">
        <f t="shared" si="47"/>
        <v>19.510000000000002</v>
      </c>
      <c r="P104" s="203">
        <f t="shared" si="52"/>
        <v>15.61</v>
      </c>
      <c r="Q104" s="203">
        <v>15.61</v>
      </c>
      <c r="R104" s="203">
        <v>0</v>
      </c>
      <c r="S104" s="203">
        <v>0</v>
      </c>
      <c r="T104" s="251">
        <f>TabelaMatriz!$I$293</f>
        <v>26.939999999999998</v>
      </c>
      <c r="U104" s="204">
        <f t="shared" si="48"/>
        <v>572.65000000000009</v>
      </c>
    </row>
    <row r="105" spans="1:21" customFormat="1" ht="12.75">
      <c r="A105" s="138">
        <v>5205</v>
      </c>
      <c r="B105" s="207">
        <v>80000.009999999995</v>
      </c>
      <c r="C105" s="93"/>
      <c r="D105" s="93"/>
      <c r="E105" s="93"/>
      <c r="F105" s="47">
        <v>100000</v>
      </c>
      <c r="G105" s="236">
        <f t="shared" si="49"/>
        <v>408.18</v>
      </c>
      <c r="H105" s="149">
        <f>TabelaMatriz!$I$9</f>
        <v>10.35</v>
      </c>
      <c r="I105" s="149">
        <f>TabelaMatriz!$I$10*2</f>
        <v>24</v>
      </c>
      <c r="J105" s="149">
        <v>21.17</v>
      </c>
      <c r="K105" s="149">
        <f t="shared" si="45"/>
        <v>463.70000000000005</v>
      </c>
      <c r="L105" s="203">
        <f t="shared" si="46"/>
        <v>8.58</v>
      </c>
      <c r="M105" s="203">
        <f t="shared" si="50"/>
        <v>92.74</v>
      </c>
      <c r="N105" s="203">
        <f t="shared" si="51"/>
        <v>23.18</v>
      </c>
      <c r="O105" s="203">
        <f t="shared" si="47"/>
        <v>23.18</v>
      </c>
      <c r="P105" s="203">
        <f t="shared" si="52"/>
        <v>18.54</v>
      </c>
      <c r="Q105" s="203">
        <v>18.54</v>
      </c>
      <c r="R105" s="203">
        <v>0</v>
      </c>
      <c r="S105" s="203">
        <v>0</v>
      </c>
      <c r="T105" s="251">
        <f>TabelaMatriz!$I$293</f>
        <v>26.939999999999998</v>
      </c>
      <c r="U105" s="204">
        <f t="shared" si="48"/>
        <v>675.39999999999986</v>
      </c>
    </row>
    <row r="106" spans="1:21" customFormat="1" ht="15" customHeight="1">
      <c r="A106" s="138">
        <v>5206</v>
      </c>
      <c r="B106" s="207">
        <v>100000.01</v>
      </c>
      <c r="C106" s="93"/>
      <c r="D106" s="93"/>
      <c r="E106" s="93"/>
      <c r="F106" s="47">
        <v>200000</v>
      </c>
      <c r="G106" s="236">
        <f t="shared" si="49"/>
        <v>481.39</v>
      </c>
      <c r="H106" s="149">
        <f>TabelaMatriz!$I$9</f>
        <v>10.35</v>
      </c>
      <c r="I106" s="149">
        <f>TabelaMatriz!$I$10*2</f>
        <v>24</v>
      </c>
      <c r="J106" s="149">
        <v>21.17</v>
      </c>
      <c r="K106" s="149">
        <f t="shared" si="45"/>
        <v>536.91</v>
      </c>
      <c r="L106" s="203">
        <f t="shared" si="46"/>
        <v>10.050000000000001</v>
      </c>
      <c r="M106" s="203">
        <f t="shared" si="50"/>
        <v>107.38</v>
      </c>
      <c r="N106" s="203">
        <f t="shared" si="51"/>
        <v>26.84</v>
      </c>
      <c r="O106" s="203">
        <f t="shared" si="47"/>
        <v>26.84</v>
      </c>
      <c r="P106" s="203">
        <f t="shared" si="52"/>
        <v>21.47</v>
      </c>
      <c r="Q106" s="203">
        <v>21.47</v>
      </c>
      <c r="R106" s="203">
        <v>0</v>
      </c>
      <c r="S106" s="203">
        <v>0</v>
      </c>
      <c r="T106" s="251">
        <f>TabelaMatriz!$I$293</f>
        <v>26.939999999999998</v>
      </c>
      <c r="U106" s="204">
        <f t="shared" si="48"/>
        <v>777.90000000000009</v>
      </c>
    </row>
    <row r="107" spans="1:21" customFormat="1" ht="15" customHeight="1">
      <c r="A107" s="138">
        <v>5207</v>
      </c>
      <c r="B107" s="207">
        <v>200000.01</v>
      </c>
      <c r="C107" s="93"/>
      <c r="D107" s="93"/>
      <c r="E107" s="93"/>
      <c r="F107" s="47">
        <v>400000</v>
      </c>
      <c r="G107" s="236">
        <f t="shared" si="49"/>
        <v>523.82000000000005</v>
      </c>
      <c r="H107" s="149">
        <f>TabelaMatriz!$I$9</f>
        <v>10.35</v>
      </c>
      <c r="I107" s="149">
        <f>TabelaMatriz!$I$10*2</f>
        <v>24</v>
      </c>
      <c r="J107" s="149">
        <v>21.17</v>
      </c>
      <c r="K107" s="149">
        <f t="shared" si="45"/>
        <v>579.34</v>
      </c>
      <c r="L107" s="203">
        <f t="shared" si="46"/>
        <v>10.89</v>
      </c>
      <c r="M107" s="203">
        <f t="shared" si="50"/>
        <v>115.86</v>
      </c>
      <c r="N107" s="203">
        <f t="shared" si="51"/>
        <v>28.96</v>
      </c>
      <c r="O107" s="203">
        <f t="shared" si="47"/>
        <v>28.96</v>
      </c>
      <c r="P107" s="203">
        <f t="shared" si="52"/>
        <v>23.17</v>
      </c>
      <c r="Q107" s="203">
        <v>23.17</v>
      </c>
      <c r="R107" s="203">
        <v>0</v>
      </c>
      <c r="S107" s="203">
        <v>0</v>
      </c>
      <c r="T107" s="251">
        <f>TabelaMatriz!$I$293</f>
        <v>26.939999999999998</v>
      </c>
      <c r="U107" s="204">
        <f t="shared" si="48"/>
        <v>837.29</v>
      </c>
    </row>
    <row r="108" spans="1:21" customFormat="1" ht="15" customHeight="1">
      <c r="A108" s="138">
        <v>5208</v>
      </c>
      <c r="B108" s="250" t="s">
        <v>310</v>
      </c>
      <c r="C108" s="93"/>
      <c r="D108" s="93"/>
      <c r="E108" s="93"/>
      <c r="F108" s="47"/>
      <c r="G108" s="236"/>
      <c r="H108" s="149"/>
      <c r="I108" s="149"/>
      <c r="J108" s="149"/>
      <c r="K108" s="149"/>
      <c r="L108" s="203"/>
      <c r="M108" s="203"/>
      <c r="N108" s="203"/>
      <c r="O108" s="203"/>
      <c r="P108" s="203"/>
      <c r="Q108" s="203"/>
      <c r="R108" s="203"/>
      <c r="S108" s="203"/>
      <c r="T108" s="93"/>
      <c r="U108" s="204"/>
    </row>
    <row r="109" spans="1:21" customFormat="1" ht="13.5" customHeight="1">
      <c r="A109" s="138"/>
      <c r="B109" s="684" t="s">
        <v>345</v>
      </c>
      <c r="C109" s="685"/>
      <c r="D109" s="685"/>
      <c r="E109" s="685"/>
      <c r="F109" s="686"/>
      <c r="G109" s="236">
        <f>TabelaMatriz!I82</f>
        <v>72.36</v>
      </c>
      <c r="H109" s="149"/>
      <c r="I109" s="148" t="s">
        <v>34</v>
      </c>
      <c r="J109" s="148"/>
      <c r="K109" s="149">
        <f t="shared" si="45"/>
        <v>72.36</v>
      </c>
      <c r="L109" s="203">
        <f t="shared" si="46"/>
        <v>1.44</v>
      </c>
      <c r="M109" s="203">
        <f t="shared" si="50"/>
        <v>14.47</v>
      </c>
      <c r="N109" s="203">
        <f t="shared" si="51"/>
        <v>3.61</v>
      </c>
      <c r="O109" s="203">
        <f t="shared" si="47"/>
        <v>3.61</v>
      </c>
      <c r="P109" s="203">
        <f t="shared" si="52"/>
        <v>2.89</v>
      </c>
      <c r="Q109" s="203">
        <v>2.89</v>
      </c>
      <c r="R109" s="112" t="s">
        <v>34</v>
      </c>
      <c r="S109" s="112" t="s">
        <v>34</v>
      </c>
      <c r="T109" s="112" t="s">
        <v>34</v>
      </c>
      <c r="U109" s="204">
        <f t="shared" si="48"/>
        <v>101.27</v>
      </c>
    </row>
    <row r="110" spans="1:21" customFormat="1" ht="13.5" customHeight="1">
      <c r="A110" s="138"/>
      <c r="B110" s="671" t="str">
        <f>TabelaMatriz!B83</f>
        <v>Obs.2 - O valor máximo dos emolumentos não pode ultrapassar a Metade do valor da Taxa Judiciária Máxima</v>
      </c>
      <c r="C110" s="672"/>
      <c r="D110" s="672"/>
      <c r="E110" s="672"/>
      <c r="F110" s="672"/>
      <c r="G110" s="672"/>
      <c r="H110" s="672"/>
      <c r="I110" s="672"/>
      <c r="J110" s="672"/>
      <c r="K110" s="672"/>
      <c r="L110" s="672"/>
      <c r="M110" s="672"/>
      <c r="N110" s="672"/>
      <c r="O110" s="672"/>
      <c r="P110" s="672"/>
      <c r="Q110" s="672"/>
      <c r="R110" s="672"/>
      <c r="S110" s="672"/>
      <c r="T110" s="672"/>
      <c r="U110" s="673"/>
    </row>
    <row r="111" spans="1:21" customFormat="1" ht="7.5" customHeight="1">
      <c r="A111" s="303"/>
      <c r="B111" s="299"/>
      <c r="C111" s="299"/>
      <c r="D111" s="299"/>
      <c r="E111" s="299"/>
      <c r="F111" s="299"/>
      <c r="G111" s="287"/>
      <c r="H111" s="287"/>
      <c r="I111" s="286"/>
      <c r="J111" s="286"/>
      <c r="K111" s="287"/>
      <c r="L111" s="284"/>
      <c r="M111" s="284"/>
      <c r="N111" s="284"/>
      <c r="O111" s="284"/>
      <c r="P111" s="284"/>
      <c r="Q111" s="284"/>
      <c r="R111" s="295"/>
      <c r="S111" s="295"/>
      <c r="T111" s="295"/>
      <c r="U111" s="310"/>
    </row>
    <row r="112" spans="1:21" customFormat="1" ht="15" customHeight="1">
      <c r="A112" s="138"/>
      <c r="B112" s="647" t="s">
        <v>69</v>
      </c>
      <c r="C112" s="648"/>
      <c r="D112" s="648"/>
      <c r="E112" s="648"/>
      <c r="F112" s="648"/>
      <c r="G112" s="649"/>
      <c r="H112" s="229" t="s">
        <v>300</v>
      </c>
      <c r="I112" s="136" t="s">
        <v>239</v>
      </c>
      <c r="J112" s="240" t="s">
        <v>303</v>
      </c>
      <c r="K112" s="650" t="s">
        <v>241</v>
      </c>
      <c r="L112" s="311">
        <v>0.02</v>
      </c>
      <c r="M112" s="314">
        <v>0.2</v>
      </c>
      <c r="N112" s="311">
        <v>0.05</v>
      </c>
      <c r="O112" s="311">
        <v>0.05</v>
      </c>
      <c r="P112" s="311">
        <v>0.04</v>
      </c>
      <c r="Q112" s="639" t="s">
        <v>488</v>
      </c>
      <c r="R112" s="282" t="s">
        <v>347</v>
      </c>
      <c r="S112" s="282" t="s">
        <v>348</v>
      </c>
      <c r="T112" s="624" t="s">
        <v>426</v>
      </c>
      <c r="U112" s="622" t="s">
        <v>3</v>
      </c>
    </row>
    <row r="113" spans="1:22" customFormat="1" ht="24.75" customHeight="1" thickBot="1">
      <c r="A113" s="138"/>
      <c r="B113" s="644" t="s">
        <v>68</v>
      </c>
      <c r="C113" s="645"/>
      <c r="D113" s="645"/>
      <c r="E113" s="645"/>
      <c r="F113" s="645"/>
      <c r="G113" s="646"/>
      <c r="H113" s="242" t="s">
        <v>306</v>
      </c>
      <c r="I113" s="119" t="s">
        <v>465</v>
      </c>
      <c r="J113" s="239" t="s">
        <v>304</v>
      </c>
      <c r="K113" s="651"/>
      <c r="L113" s="313" t="s">
        <v>349</v>
      </c>
      <c r="M113" s="315" t="s">
        <v>350</v>
      </c>
      <c r="N113" s="313" t="s">
        <v>351</v>
      </c>
      <c r="O113" s="313" t="s">
        <v>352</v>
      </c>
      <c r="P113" s="313" t="s">
        <v>355</v>
      </c>
      <c r="Q113" s="640"/>
      <c r="R113" s="313" t="s">
        <v>353</v>
      </c>
      <c r="S113" s="313" t="s">
        <v>354</v>
      </c>
      <c r="T113" s="625"/>
      <c r="U113" s="623"/>
    </row>
    <row r="114" spans="1:22" customFormat="1" ht="15" customHeight="1">
      <c r="A114" s="138">
        <v>5209</v>
      </c>
      <c r="B114" s="662" t="s">
        <v>311</v>
      </c>
      <c r="C114" s="663"/>
      <c r="D114" s="663"/>
      <c r="E114" s="663"/>
      <c r="F114" s="664"/>
      <c r="G114" s="665">
        <f>TabelaMatriz!I88</f>
        <v>97.89</v>
      </c>
      <c r="H114" s="667"/>
      <c r="I114" s="674" t="s">
        <v>34</v>
      </c>
      <c r="J114" s="652">
        <v>21.17</v>
      </c>
      <c r="K114" s="652">
        <f>SUM(G114:J115)</f>
        <v>119.06</v>
      </c>
      <c r="L114" s="669">
        <v>1.95</v>
      </c>
      <c r="M114" s="669">
        <f>TRUNC(K114*20%,2)</f>
        <v>23.81</v>
      </c>
      <c r="N114" s="669">
        <f>TRUNC(K114*5%,2)</f>
        <v>5.95</v>
      </c>
      <c r="O114" s="669">
        <f>N114</f>
        <v>5.95</v>
      </c>
      <c r="P114" s="669">
        <f>TRUNC(K114*4%,2)</f>
        <v>4.76</v>
      </c>
      <c r="Q114" s="669">
        <v>4.76</v>
      </c>
      <c r="R114" s="669">
        <v>0</v>
      </c>
      <c r="S114" s="669">
        <v>0</v>
      </c>
      <c r="T114" s="678" t="s">
        <v>34</v>
      </c>
      <c r="U114" s="676">
        <f>SUM(K114:T115)</f>
        <v>166.23999999999995</v>
      </c>
    </row>
    <row r="115" spans="1:22" customFormat="1" ht="32.25" customHeight="1">
      <c r="A115" s="8">
        <v>5209</v>
      </c>
      <c r="B115" s="588" t="s">
        <v>482</v>
      </c>
      <c r="C115" s="504"/>
      <c r="D115" s="504"/>
      <c r="E115" s="504"/>
      <c r="F115" s="519"/>
      <c r="G115" s="666"/>
      <c r="H115" s="668"/>
      <c r="I115" s="675"/>
      <c r="J115" s="653"/>
      <c r="K115" s="653"/>
      <c r="L115" s="670"/>
      <c r="M115" s="670"/>
      <c r="N115" s="670"/>
      <c r="O115" s="670"/>
      <c r="P115" s="670"/>
      <c r="Q115" s="670"/>
      <c r="R115" s="670"/>
      <c r="S115" s="670"/>
      <c r="T115" s="679"/>
      <c r="U115" s="677"/>
    </row>
    <row r="116" spans="1:22" customFormat="1" ht="30.75" customHeight="1">
      <c r="A116" s="8">
        <v>5209</v>
      </c>
      <c r="B116" s="588" t="s">
        <v>462</v>
      </c>
      <c r="C116" s="504"/>
      <c r="D116" s="504"/>
      <c r="E116" s="504"/>
      <c r="F116" s="519"/>
      <c r="G116" s="236">
        <f>TabelaMatriz!I88</f>
        <v>97.89</v>
      </c>
      <c r="H116" s="149">
        <v>20.7</v>
      </c>
      <c r="I116" s="149">
        <f>TabelaMatriz!$I$10*2</f>
        <v>24</v>
      </c>
      <c r="J116" s="149">
        <v>21.17</v>
      </c>
      <c r="K116" s="149">
        <f t="shared" ref="K116:K148" si="53">SUM(G116:J116)</f>
        <v>163.76</v>
      </c>
      <c r="L116" s="203">
        <v>1.95</v>
      </c>
      <c r="M116" s="203">
        <f t="shared" ref="M116:M144" si="54">TRUNC(K116*20%,2)</f>
        <v>32.75</v>
      </c>
      <c r="N116" s="203">
        <f t="shared" ref="N116:N144" si="55">TRUNC(K116*5%,2)</f>
        <v>8.18</v>
      </c>
      <c r="O116" s="203">
        <f t="shared" ref="O116:O144" si="56">N116</f>
        <v>8.18</v>
      </c>
      <c r="P116" s="203">
        <f t="shared" ref="P116:P144" si="57">TRUNC(K116*4%,2)</f>
        <v>6.55</v>
      </c>
      <c r="Q116" s="203">
        <v>6.55</v>
      </c>
      <c r="R116" s="203">
        <v>0</v>
      </c>
      <c r="S116" s="203">
        <v>0</v>
      </c>
      <c r="T116" s="203">
        <f>TabelaMatriz!$I$293</f>
        <v>26.939999999999998</v>
      </c>
      <c r="U116" s="204">
        <f t="shared" ref="U116:U144" si="58">SUM(K116:T116)</f>
        <v>254.86</v>
      </c>
    </row>
    <row r="117" spans="1:22" customFormat="1" ht="28.5" customHeight="1">
      <c r="A117" s="8">
        <v>5211</v>
      </c>
      <c r="B117" s="658" t="s">
        <v>70</v>
      </c>
      <c r="C117" s="521"/>
      <c r="D117" s="521"/>
      <c r="E117" s="521"/>
      <c r="F117" s="532"/>
      <c r="G117" s="236">
        <f>TabelaMatriz!I89</f>
        <v>326.37</v>
      </c>
      <c r="H117" s="149">
        <v>20.7</v>
      </c>
      <c r="I117" s="429" t="s">
        <v>34</v>
      </c>
      <c r="J117" s="149">
        <v>21.17</v>
      </c>
      <c r="K117" s="149">
        <f t="shared" si="53"/>
        <v>368.24</v>
      </c>
      <c r="L117" s="203">
        <v>6.52</v>
      </c>
      <c r="M117" s="203">
        <f t="shared" si="54"/>
        <v>73.64</v>
      </c>
      <c r="N117" s="203">
        <f t="shared" si="55"/>
        <v>18.41</v>
      </c>
      <c r="O117" s="203">
        <f t="shared" si="56"/>
        <v>18.41</v>
      </c>
      <c r="P117" s="203">
        <f t="shared" si="57"/>
        <v>14.72</v>
      </c>
      <c r="Q117" s="203">
        <v>14.72</v>
      </c>
      <c r="R117" s="203">
        <v>0</v>
      </c>
      <c r="S117" s="203">
        <v>0</v>
      </c>
      <c r="T117" s="93" t="s">
        <v>34</v>
      </c>
      <c r="U117" s="204">
        <f t="shared" si="58"/>
        <v>514.66000000000008</v>
      </c>
    </row>
    <row r="118" spans="1:22" customFormat="1" ht="15" customHeight="1">
      <c r="A118" s="138">
        <v>5013</v>
      </c>
      <c r="B118" s="599" t="s">
        <v>71</v>
      </c>
      <c r="C118" s="522"/>
      <c r="D118" s="522"/>
      <c r="E118" s="522"/>
      <c r="F118" s="523"/>
      <c r="G118" s="236">
        <v>21.17</v>
      </c>
      <c r="H118" s="149"/>
      <c r="I118" s="429" t="s">
        <v>34</v>
      </c>
      <c r="J118" s="148"/>
      <c r="K118" s="149">
        <v>21.17</v>
      </c>
      <c r="L118" s="203">
        <v>0.42</v>
      </c>
      <c r="M118" s="203">
        <f t="shared" si="54"/>
        <v>4.2300000000000004</v>
      </c>
      <c r="N118" s="203">
        <f t="shared" si="55"/>
        <v>1.05</v>
      </c>
      <c r="O118" s="203">
        <f t="shared" si="56"/>
        <v>1.05</v>
      </c>
      <c r="P118" s="203">
        <f t="shared" si="57"/>
        <v>0.84</v>
      </c>
      <c r="Q118" s="203">
        <v>0.84</v>
      </c>
      <c r="R118" s="93">
        <v>0</v>
      </c>
      <c r="S118" s="93">
        <v>0</v>
      </c>
      <c r="T118" s="93" t="s">
        <v>34</v>
      </c>
      <c r="U118" s="204">
        <f t="shared" si="58"/>
        <v>29.600000000000005</v>
      </c>
    </row>
    <row r="119" spans="1:22" customFormat="1" ht="24" customHeight="1">
      <c r="A119" s="253">
        <v>5212</v>
      </c>
      <c r="B119" s="659" t="s">
        <v>273</v>
      </c>
      <c r="C119" s="660"/>
      <c r="D119" s="660"/>
      <c r="E119" s="660"/>
      <c r="F119" s="661"/>
      <c r="G119" s="265">
        <f>TabelaMatriz!I91</f>
        <v>30.46</v>
      </c>
      <c r="H119" s="266">
        <v>20.7</v>
      </c>
      <c r="I119" s="429" t="s">
        <v>34</v>
      </c>
      <c r="J119" s="266">
        <v>21.17</v>
      </c>
      <c r="K119" s="266">
        <f t="shared" si="53"/>
        <v>72.33</v>
      </c>
      <c r="L119" s="267">
        <v>0.6</v>
      </c>
      <c r="M119" s="267">
        <f t="shared" si="54"/>
        <v>14.46</v>
      </c>
      <c r="N119" s="267">
        <f t="shared" si="55"/>
        <v>3.61</v>
      </c>
      <c r="O119" s="267">
        <f t="shared" si="56"/>
        <v>3.61</v>
      </c>
      <c r="P119" s="267">
        <f t="shared" si="57"/>
        <v>2.89</v>
      </c>
      <c r="Q119" s="203">
        <v>2.89</v>
      </c>
      <c r="R119" s="267">
        <v>0</v>
      </c>
      <c r="S119" s="267">
        <v>0</v>
      </c>
      <c r="T119" s="417" t="s">
        <v>34</v>
      </c>
      <c r="U119" s="268">
        <f t="shared" si="58"/>
        <v>100.38999999999999</v>
      </c>
    </row>
    <row r="120" spans="1:22" customFormat="1" ht="15" customHeight="1">
      <c r="A120" s="138">
        <v>5006</v>
      </c>
      <c r="B120" s="657" t="s">
        <v>73</v>
      </c>
      <c r="C120" s="495"/>
      <c r="D120" s="495"/>
      <c r="E120" s="495"/>
      <c r="F120" s="496"/>
      <c r="G120" s="236"/>
      <c r="H120" s="149"/>
      <c r="I120" s="149"/>
      <c r="J120" s="149"/>
      <c r="K120" s="149"/>
      <c r="L120" s="203"/>
      <c r="M120" s="203"/>
      <c r="N120" s="203"/>
      <c r="O120" s="203"/>
      <c r="P120" s="203"/>
      <c r="Q120" s="203"/>
      <c r="R120" s="203"/>
      <c r="S120" s="203"/>
      <c r="T120" s="93"/>
      <c r="U120" s="204"/>
    </row>
    <row r="121" spans="1:22" customFormat="1" ht="15" customHeight="1">
      <c r="A121" s="138"/>
      <c r="B121" s="599" t="s">
        <v>75</v>
      </c>
      <c r="C121" s="522"/>
      <c r="D121" s="522"/>
      <c r="E121" s="522"/>
      <c r="F121" s="523"/>
      <c r="G121" s="236">
        <f>TabelaMatriz!I93</f>
        <v>123.98</v>
      </c>
      <c r="H121" s="149">
        <v>20.7</v>
      </c>
      <c r="I121" s="429" t="s">
        <v>34</v>
      </c>
      <c r="J121" s="149">
        <v>21.17</v>
      </c>
      <c r="K121" s="149">
        <f t="shared" si="53"/>
        <v>165.85000000000002</v>
      </c>
      <c r="L121" s="203">
        <v>2.4700000000000002</v>
      </c>
      <c r="M121" s="203">
        <f t="shared" si="54"/>
        <v>33.17</v>
      </c>
      <c r="N121" s="203">
        <f t="shared" si="55"/>
        <v>8.2899999999999991</v>
      </c>
      <c r="O121" s="203">
        <f t="shared" si="56"/>
        <v>8.2899999999999991</v>
      </c>
      <c r="P121" s="203">
        <f t="shared" si="57"/>
        <v>6.63</v>
      </c>
      <c r="Q121" s="203">
        <v>6.63</v>
      </c>
      <c r="R121" s="203">
        <v>0</v>
      </c>
      <c r="S121" s="203">
        <v>0</v>
      </c>
      <c r="T121" s="93" t="s">
        <v>34</v>
      </c>
      <c r="U121" s="204">
        <f t="shared" si="58"/>
        <v>231.32999999999998</v>
      </c>
    </row>
    <row r="122" spans="1:22" customFormat="1" ht="15" customHeight="1">
      <c r="A122" s="138"/>
      <c r="B122" s="598" t="s">
        <v>74</v>
      </c>
      <c r="C122" s="528"/>
      <c r="D122" s="528"/>
      <c r="E122" s="528"/>
      <c r="F122" s="529"/>
      <c r="G122" s="236">
        <f>TabelaMatriz!I94</f>
        <v>17.899999999999999</v>
      </c>
      <c r="H122" s="149"/>
      <c r="I122" s="429" t="s">
        <v>34</v>
      </c>
      <c r="J122" s="148"/>
      <c r="K122" s="149">
        <f t="shared" si="53"/>
        <v>17.899999999999999</v>
      </c>
      <c r="L122" s="203">
        <f t="shared" ref="L122:L148" si="59">TRUNC((G122+J122)*2%,2)</f>
        <v>0.35</v>
      </c>
      <c r="M122" s="203">
        <f t="shared" si="54"/>
        <v>3.58</v>
      </c>
      <c r="N122" s="203">
        <f t="shared" si="55"/>
        <v>0.89</v>
      </c>
      <c r="O122" s="203">
        <f t="shared" si="56"/>
        <v>0.89</v>
      </c>
      <c r="P122" s="203">
        <f t="shared" si="57"/>
        <v>0.71</v>
      </c>
      <c r="Q122" s="203">
        <v>0.71</v>
      </c>
      <c r="R122" s="93" t="s">
        <v>34</v>
      </c>
      <c r="S122" s="93" t="s">
        <v>34</v>
      </c>
      <c r="T122" s="93" t="s">
        <v>34</v>
      </c>
      <c r="U122" s="204">
        <f t="shared" si="58"/>
        <v>25.03</v>
      </c>
    </row>
    <row r="123" spans="1:22" customFormat="1" ht="14.25" customHeight="1">
      <c r="A123" s="138"/>
      <c r="B123" s="598" t="s">
        <v>76</v>
      </c>
      <c r="C123" s="528"/>
      <c r="D123" s="528"/>
      <c r="E123" s="528"/>
      <c r="F123" s="529"/>
      <c r="G123" s="236">
        <f>TabelaMatriz!I95</f>
        <v>16.27</v>
      </c>
      <c r="H123" s="149"/>
      <c r="I123" s="429" t="s">
        <v>34</v>
      </c>
      <c r="J123" s="148"/>
      <c r="K123" s="149">
        <f t="shared" si="53"/>
        <v>16.27</v>
      </c>
      <c r="L123" s="203">
        <f t="shared" si="59"/>
        <v>0.32</v>
      </c>
      <c r="M123" s="203">
        <f t="shared" si="54"/>
        <v>3.25</v>
      </c>
      <c r="N123" s="203">
        <f t="shared" si="55"/>
        <v>0.81</v>
      </c>
      <c r="O123" s="203">
        <f t="shared" si="56"/>
        <v>0.81</v>
      </c>
      <c r="P123" s="203">
        <f t="shared" si="57"/>
        <v>0.65</v>
      </c>
      <c r="Q123" s="203">
        <v>0.65</v>
      </c>
      <c r="R123" s="93" t="s">
        <v>34</v>
      </c>
      <c r="S123" s="93" t="s">
        <v>34</v>
      </c>
      <c r="T123" s="93" t="s">
        <v>34</v>
      </c>
      <c r="U123" s="204">
        <f t="shared" si="58"/>
        <v>22.759999999999994</v>
      </c>
    </row>
    <row r="124" spans="1:22" customFormat="1" ht="31.5" customHeight="1">
      <c r="A124" s="8">
        <v>5213</v>
      </c>
      <c r="B124" s="654" t="s">
        <v>510</v>
      </c>
      <c r="C124" s="655"/>
      <c r="D124" s="655"/>
      <c r="E124" s="655"/>
      <c r="F124" s="656"/>
      <c r="G124" s="236">
        <v>85.46</v>
      </c>
      <c r="H124" s="149"/>
      <c r="I124" s="429" t="s">
        <v>34</v>
      </c>
      <c r="J124" s="148"/>
      <c r="K124" s="149">
        <f t="shared" si="53"/>
        <v>85.46</v>
      </c>
      <c r="L124" s="203">
        <f t="shared" si="59"/>
        <v>1.7</v>
      </c>
      <c r="M124" s="203">
        <f t="shared" si="54"/>
        <v>17.09</v>
      </c>
      <c r="N124" s="203">
        <f t="shared" si="55"/>
        <v>4.2699999999999996</v>
      </c>
      <c r="O124" s="203">
        <f t="shared" si="56"/>
        <v>4.2699999999999996</v>
      </c>
      <c r="P124" s="203">
        <f t="shared" si="57"/>
        <v>3.41</v>
      </c>
      <c r="Q124" s="203">
        <v>3.41</v>
      </c>
      <c r="R124" s="112" t="s">
        <v>34</v>
      </c>
      <c r="S124" s="112" t="s">
        <v>34</v>
      </c>
      <c r="T124" s="112" t="s">
        <v>34</v>
      </c>
      <c r="U124" s="204">
        <f t="shared" si="58"/>
        <v>119.60999999999999</v>
      </c>
    </row>
    <row r="125" spans="1:22" customFormat="1" ht="18.75" customHeight="1">
      <c r="A125" s="253">
        <v>5012</v>
      </c>
      <c r="B125" s="592" t="s">
        <v>312</v>
      </c>
      <c r="C125" s="593"/>
      <c r="D125" s="593"/>
      <c r="E125" s="593"/>
      <c r="F125" s="594"/>
      <c r="G125" s="236">
        <f>TabelaMatriz!I7</f>
        <v>19.82</v>
      </c>
      <c r="H125" s="149"/>
      <c r="I125" s="429" t="s">
        <v>34</v>
      </c>
      <c r="J125" s="148"/>
      <c r="K125" s="149">
        <f>SUM(G125:J125)</f>
        <v>19.82</v>
      </c>
      <c r="L125" s="203">
        <f>TRUNC((G125+J125)*2%,2)</f>
        <v>0.39</v>
      </c>
      <c r="M125" s="203">
        <f>TRUNC(K125*20%,2)</f>
        <v>3.96</v>
      </c>
      <c r="N125" s="203">
        <f>TRUNC(K125*5%,2)</f>
        <v>0.99</v>
      </c>
      <c r="O125" s="203">
        <f>N125</f>
        <v>0.99</v>
      </c>
      <c r="P125" s="203">
        <f>TRUNC(K125*4%,2)</f>
        <v>0.79</v>
      </c>
      <c r="Q125" s="203">
        <v>0.79</v>
      </c>
      <c r="R125" s="112" t="s">
        <v>34</v>
      </c>
      <c r="S125" s="112" t="s">
        <v>34</v>
      </c>
      <c r="T125" s="112" t="s">
        <v>34</v>
      </c>
      <c r="U125" s="204">
        <f>SUM(K125:T125)</f>
        <v>27.729999999999997</v>
      </c>
      <c r="V125" s="488" t="s">
        <v>509</v>
      </c>
    </row>
    <row r="126" spans="1:22" customFormat="1" ht="21" customHeight="1">
      <c r="A126" s="138"/>
      <c r="B126" s="588" t="s">
        <v>78</v>
      </c>
      <c r="C126" s="504"/>
      <c r="D126" s="504"/>
      <c r="E126" s="504"/>
      <c r="F126" s="519"/>
      <c r="G126" s="236"/>
      <c r="H126" s="149"/>
      <c r="I126" s="149"/>
      <c r="J126" s="149"/>
      <c r="K126" s="149"/>
      <c r="L126" s="203"/>
      <c r="M126" s="203"/>
      <c r="N126" s="203"/>
      <c r="O126" s="203"/>
      <c r="P126" s="203"/>
      <c r="Q126" s="203"/>
      <c r="R126" s="203"/>
      <c r="S126" s="203"/>
      <c r="T126" s="93"/>
      <c r="U126" s="204"/>
    </row>
    <row r="127" spans="1:22" customFormat="1" ht="14.25" customHeight="1">
      <c r="A127" s="138">
        <v>5214</v>
      </c>
      <c r="B127" s="599" t="s">
        <v>79</v>
      </c>
      <c r="C127" s="522"/>
      <c r="D127" s="522"/>
      <c r="E127" s="522"/>
      <c r="F127" s="523"/>
      <c r="G127" s="236">
        <f>TabelaMatriz!I98</f>
        <v>6.01</v>
      </c>
      <c r="H127" s="149"/>
      <c r="I127" s="429" t="s">
        <v>34</v>
      </c>
      <c r="J127" s="149">
        <v>21.17</v>
      </c>
      <c r="K127" s="149">
        <f t="shared" si="53"/>
        <v>27.18</v>
      </c>
      <c r="L127" s="203">
        <v>0.12</v>
      </c>
      <c r="M127" s="203">
        <f t="shared" si="54"/>
        <v>5.43</v>
      </c>
      <c r="N127" s="203">
        <f t="shared" si="55"/>
        <v>1.35</v>
      </c>
      <c r="O127" s="203">
        <f t="shared" si="56"/>
        <v>1.35</v>
      </c>
      <c r="P127" s="203">
        <f t="shared" si="57"/>
        <v>1.08</v>
      </c>
      <c r="Q127" s="203">
        <v>1.08</v>
      </c>
      <c r="R127" s="93" t="s">
        <v>34</v>
      </c>
      <c r="S127" s="93" t="s">
        <v>34</v>
      </c>
      <c r="T127" s="93" t="s">
        <v>34</v>
      </c>
      <c r="U127" s="204">
        <f t="shared" si="58"/>
        <v>37.590000000000003</v>
      </c>
    </row>
    <row r="128" spans="1:22" customFormat="1" ht="14.25" customHeight="1">
      <c r="A128" s="138">
        <v>5215</v>
      </c>
      <c r="B128" s="599" t="s">
        <v>80</v>
      </c>
      <c r="C128" s="522"/>
      <c r="D128" s="522"/>
      <c r="E128" s="522"/>
      <c r="F128" s="523"/>
      <c r="G128" s="236">
        <f>TabelaMatriz!I99</f>
        <v>1.26</v>
      </c>
      <c r="H128" s="149"/>
      <c r="I128" s="429" t="s">
        <v>34</v>
      </c>
      <c r="J128" s="148"/>
      <c r="K128" s="149">
        <f t="shared" si="53"/>
        <v>1.26</v>
      </c>
      <c r="L128" s="203">
        <f t="shared" si="59"/>
        <v>0.02</v>
      </c>
      <c r="M128" s="203">
        <f t="shared" si="54"/>
        <v>0.25</v>
      </c>
      <c r="N128" s="203">
        <f t="shared" si="55"/>
        <v>0.06</v>
      </c>
      <c r="O128" s="203">
        <f t="shared" si="56"/>
        <v>0.06</v>
      </c>
      <c r="P128" s="203">
        <f t="shared" si="57"/>
        <v>0.05</v>
      </c>
      <c r="Q128" s="203">
        <v>0.05</v>
      </c>
      <c r="R128" s="93" t="s">
        <v>34</v>
      </c>
      <c r="S128" s="93" t="s">
        <v>34</v>
      </c>
      <c r="T128" s="93" t="s">
        <v>34</v>
      </c>
      <c r="U128" s="204">
        <f t="shared" si="58"/>
        <v>1.7500000000000002</v>
      </c>
    </row>
    <row r="129" spans="1:21" customFormat="1" ht="14.25" customHeight="1">
      <c r="A129" s="138"/>
      <c r="B129" s="599" t="s">
        <v>81</v>
      </c>
      <c r="C129" s="522"/>
      <c r="D129" s="522"/>
      <c r="E129" s="522"/>
      <c r="F129" s="523"/>
      <c r="G129" s="236"/>
      <c r="H129" s="149"/>
      <c r="I129" s="149"/>
      <c r="J129" s="149"/>
      <c r="K129" s="149"/>
      <c r="L129" s="203"/>
      <c r="M129" s="203"/>
      <c r="N129" s="203"/>
      <c r="O129" s="203"/>
      <c r="P129" s="203"/>
      <c r="Q129" s="203"/>
      <c r="R129" s="203"/>
      <c r="S129" s="203"/>
      <c r="T129" s="93"/>
      <c r="U129" s="204"/>
    </row>
    <row r="130" spans="1:21" customFormat="1" ht="14.25" customHeight="1">
      <c r="A130" s="138">
        <v>5216</v>
      </c>
      <c r="B130" s="599" t="s">
        <v>82</v>
      </c>
      <c r="C130" s="522"/>
      <c r="D130" s="522"/>
      <c r="E130" s="522"/>
      <c r="F130" s="523"/>
      <c r="G130" s="236">
        <f>TabelaMatriz!I101</f>
        <v>65.239999999999995</v>
      </c>
      <c r="H130" s="149"/>
      <c r="I130" s="429" t="s">
        <v>34</v>
      </c>
      <c r="J130" s="149">
        <v>21.17</v>
      </c>
      <c r="K130" s="149">
        <f t="shared" si="53"/>
        <v>86.41</v>
      </c>
      <c r="L130" s="203">
        <v>1.3</v>
      </c>
      <c r="M130" s="203">
        <f t="shared" si="54"/>
        <v>17.28</v>
      </c>
      <c r="N130" s="203">
        <f t="shared" si="55"/>
        <v>4.32</v>
      </c>
      <c r="O130" s="203">
        <f t="shared" si="56"/>
        <v>4.32</v>
      </c>
      <c r="P130" s="203">
        <f t="shared" si="57"/>
        <v>3.45</v>
      </c>
      <c r="Q130" s="203">
        <v>3.45</v>
      </c>
      <c r="R130" s="203">
        <v>0</v>
      </c>
      <c r="S130" s="203">
        <v>0</v>
      </c>
      <c r="T130" s="93" t="s">
        <v>34</v>
      </c>
      <c r="U130" s="204">
        <f t="shared" si="58"/>
        <v>120.53</v>
      </c>
    </row>
    <row r="131" spans="1:21" customFormat="1" ht="14.25" customHeight="1">
      <c r="A131" s="138">
        <v>5217</v>
      </c>
      <c r="B131" s="599" t="s">
        <v>83</v>
      </c>
      <c r="C131" s="522"/>
      <c r="D131" s="522"/>
      <c r="E131" s="522"/>
      <c r="F131" s="523"/>
      <c r="G131" s="236">
        <f>TabelaMatriz!I102</f>
        <v>30.46</v>
      </c>
      <c r="H131" s="149"/>
      <c r="I131" s="429" t="s">
        <v>34</v>
      </c>
      <c r="J131" s="148"/>
      <c r="K131" s="149">
        <f t="shared" si="53"/>
        <v>30.46</v>
      </c>
      <c r="L131" s="203">
        <f t="shared" si="59"/>
        <v>0.6</v>
      </c>
      <c r="M131" s="203">
        <f t="shared" si="54"/>
        <v>6.09</v>
      </c>
      <c r="N131" s="203">
        <f t="shared" si="55"/>
        <v>1.52</v>
      </c>
      <c r="O131" s="203">
        <f t="shared" si="56"/>
        <v>1.52</v>
      </c>
      <c r="P131" s="203">
        <f t="shared" si="57"/>
        <v>1.21</v>
      </c>
      <c r="Q131" s="203">
        <v>1.21</v>
      </c>
      <c r="R131" s="93" t="s">
        <v>34</v>
      </c>
      <c r="S131" s="93" t="s">
        <v>34</v>
      </c>
      <c r="T131" s="93" t="s">
        <v>34</v>
      </c>
      <c r="U131" s="204">
        <f t="shared" si="58"/>
        <v>42.610000000000014</v>
      </c>
    </row>
    <row r="132" spans="1:21" customFormat="1" ht="14.25" customHeight="1">
      <c r="A132" s="138"/>
      <c r="B132" s="598" t="s">
        <v>84</v>
      </c>
      <c r="C132" s="528"/>
      <c r="D132" s="528"/>
      <c r="E132" s="528"/>
      <c r="F132" s="529"/>
      <c r="G132" s="236">
        <f>TabelaMatriz!I103</f>
        <v>30.46</v>
      </c>
      <c r="H132" s="149"/>
      <c r="I132" s="429" t="s">
        <v>34</v>
      </c>
      <c r="J132" s="148"/>
      <c r="K132" s="149">
        <f t="shared" si="53"/>
        <v>30.46</v>
      </c>
      <c r="L132" s="203">
        <f t="shared" si="59"/>
        <v>0.6</v>
      </c>
      <c r="M132" s="203">
        <f t="shared" si="54"/>
        <v>6.09</v>
      </c>
      <c r="N132" s="203">
        <f t="shared" si="55"/>
        <v>1.52</v>
      </c>
      <c r="O132" s="203">
        <f t="shared" si="56"/>
        <v>1.52</v>
      </c>
      <c r="P132" s="203">
        <f t="shared" si="57"/>
        <v>1.21</v>
      </c>
      <c r="Q132" s="203">
        <v>1.21</v>
      </c>
      <c r="R132" s="93" t="s">
        <v>34</v>
      </c>
      <c r="S132" s="93" t="s">
        <v>34</v>
      </c>
      <c r="T132" s="93" t="s">
        <v>34</v>
      </c>
      <c r="U132" s="204">
        <f t="shared" si="58"/>
        <v>42.610000000000014</v>
      </c>
    </row>
    <row r="133" spans="1:21" customFormat="1" ht="14.25" customHeight="1">
      <c r="A133" s="138">
        <v>5218</v>
      </c>
      <c r="B133" s="598" t="s">
        <v>274</v>
      </c>
      <c r="C133" s="528"/>
      <c r="D133" s="528"/>
      <c r="E133" s="528"/>
      <c r="F133" s="529"/>
      <c r="G133" s="390">
        <f>TabelaMatriz!I104</f>
        <v>30.46</v>
      </c>
      <c r="H133" s="149"/>
      <c r="I133" s="429" t="s">
        <v>34</v>
      </c>
      <c r="J133" s="148"/>
      <c r="K133" s="149">
        <f t="shared" si="53"/>
        <v>30.46</v>
      </c>
      <c r="L133" s="203">
        <f t="shared" si="59"/>
        <v>0.6</v>
      </c>
      <c r="M133" s="203">
        <f t="shared" si="54"/>
        <v>6.09</v>
      </c>
      <c r="N133" s="203">
        <f t="shared" si="55"/>
        <v>1.52</v>
      </c>
      <c r="O133" s="203">
        <f t="shared" si="56"/>
        <v>1.52</v>
      </c>
      <c r="P133" s="203">
        <f t="shared" si="57"/>
        <v>1.21</v>
      </c>
      <c r="Q133" s="203">
        <v>1.21</v>
      </c>
      <c r="R133" s="93" t="s">
        <v>34</v>
      </c>
      <c r="S133" s="93" t="s">
        <v>34</v>
      </c>
      <c r="T133" s="93" t="s">
        <v>34</v>
      </c>
      <c r="U133" s="204">
        <f t="shared" si="58"/>
        <v>42.610000000000014</v>
      </c>
    </row>
    <row r="134" spans="1:21" ht="14.25" customHeight="1">
      <c r="A134" s="138"/>
      <c r="B134" s="598" t="s">
        <v>463</v>
      </c>
      <c r="C134" s="528"/>
      <c r="D134" s="528"/>
      <c r="E134" s="528"/>
      <c r="F134" s="528"/>
      <c r="G134" s="418"/>
      <c r="H134" s="149"/>
      <c r="I134" s="149"/>
      <c r="J134" s="149"/>
      <c r="K134" s="149"/>
      <c r="L134" s="203"/>
      <c r="M134" s="203"/>
      <c r="N134" s="203"/>
      <c r="O134" s="203"/>
      <c r="P134" s="203"/>
      <c r="Q134" s="203"/>
      <c r="R134" s="203"/>
      <c r="S134" s="203"/>
      <c r="T134" s="93"/>
      <c r="U134" s="204"/>
    </row>
    <row r="135" spans="1:21" ht="14.25" customHeight="1">
      <c r="A135" s="138">
        <v>5219</v>
      </c>
      <c r="B135" s="598" t="s">
        <v>87</v>
      </c>
      <c r="C135" s="528"/>
      <c r="D135" s="528"/>
      <c r="E135" s="528"/>
      <c r="F135" s="528"/>
      <c r="G135" s="418"/>
      <c r="H135" s="149"/>
      <c r="I135" s="149"/>
      <c r="J135" s="149"/>
      <c r="K135" s="149"/>
      <c r="L135" s="203"/>
      <c r="M135" s="203"/>
      <c r="N135" s="203"/>
      <c r="O135" s="203"/>
      <c r="P135" s="203"/>
      <c r="Q135" s="203"/>
      <c r="R135" s="203"/>
      <c r="S135" s="203"/>
      <c r="T135" s="93"/>
      <c r="U135" s="204"/>
    </row>
    <row r="136" spans="1:21" ht="14.25" customHeight="1">
      <c r="A136" s="138"/>
      <c r="B136" s="598" t="s">
        <v>88</v>
      </c>
      <c r="C136" s="528"/>
      <c r="D136" s="528"/>
      <c r="E136" s="528"/>
      <c r="F136" s="529"/>
      <c r="G136" s="236">
        <f>TabelaMatriz!I107</f>
        <v>293.7</v>
      </c>
      <c r="H136" s="149">
        <v>20.7</v>
      </c>
      <c r="I136" s="429" t="s">
        <v>34</v>
      </c>
      <c r="J136" s="149">
        <v>21.17</v>
      </c>
      <c r="K136" s="149">
        <f t="shared" si="53"/>
        <v>335.57</v>
      </c>
      <c r="L136" s="203">
        <v>5.87</v>
      </c>
      <c r="M136" s="203">
        <f t="shared" si="54"/>
        <v>67.11</v>
      </c>
      <c r="N136" s="203">
        <f t="shared" si="55"/>
        <v>16.77</v>
      </c>
      <c r="O136" s="203">
        <f t="shared" si="56"/>
        <v>16.77</v>
      </c>
      <c r="P136" s="203">
        <f t="shared" si="57"/>
        <v>13.42</v>
      </c>
      <c r="Q136" s="203">
        <v>13.42</v>
      </c>
      <c r="R136" s="203">
        <v>0</v>
      </c>
      <c r="S136" s="203">
        <v>0</v>
      </c>
      <c r="T136" s="112" t="s">
        <v>34</v>
      </c>
      <c r="U136" s="204">
        <f t="shared" si="58"/>
        <v>468.93</v>
      </c>
    </row>
    <row r="137" spans="1:21" ht="30" customHeight="1">
      <c r="A137" s="138"/>
      <c r="B137" s="595" t="s">
        <v>89</v>
      </c>
      <c r="C137" s="596"/>
      <c r="D137" s="596"/>
      <c r="E137" s="596"/>
      <c r="F137" s="597"/>
      <c r="G137" s="236">
        <f>TabelaMatriz!I108</f>
        <v>30.46</v>
      </c>
      <c r="H137" s="149"/>
      <c r="I137" s="429" t="s">
        <v>34</v>
      </c>
      <c r="J137" s="148"/>
      <c r="K137" s="149">
        <f t="shared" si="53"/>
        <v>30.46</v>
      </c>
      <c r="L137" s="203">
        <f t="shared" si="59"/>
        <v>0.6</v>
      </c>
      <c r="M137" s="203">
        <f t="shared" si="54"/>
        <v>6.09</v>
      </c>
      <c r="N137" s="203">
        <f t="shared" si="55"/>
        <v>1.52</v>
      </c>
      <c r="O137" s="203">
        <f t="shared" si="56"/>
        <v>1.52</v>
      </c>
      <c r="P137" s="203">
        <f t="shared" si="57"/>
        <v>1.21</v>
      </c>
      <c r="Q137" s="203">
        <v>1.21</v>
      </c>
      <c r="R137" s="203">
        <v>0</v>
      </c>
      <c r="S137" s="203">
        <v>0</v>
      </c>
      <c r="T137" s="112" t="s">
        <v>34</v>
      </c>
      <c r="U137" s="204">
        <f t="shared" si="58"/>
        <v>42.610000000000014</v>
      </c>
    </row>
    <row r="138" spans="1:21" ht="29.25" customHeight="1">
      <c r="A138" s="138"/>
      <c r="B138" s="595" t="s">
        <v>90</v>
      </c>
      <c r="C138" s="596"/>
      <c r="D138" s="596"/>
      <c r="E138" s="596"/>
      <c r="F138" s="597"/>
      <c r="G138" s="236">
        <f>TabelaMatriz!I109</f>
        <v>30.46</v>
      </c>
      <c r="H138" s="149"/>
      <c r="I138" s="429" t="s">
        <v>34</v>
      </c>
      <c r="J138" s="148"/>
      <c r="K138" s="149">
        <f t="shared" si="53"/>
        <v>30.46</v>
      </c>
      <c r="L138" s="203">
        <f t="shared" si="59"/>
        <v>0.6</v>
      </c>
      <c r="M138" s="203">
        <f t="shared" si="54"/>
        <v>6.09</v>
      </c>
      <c r="N138" s="203">
        <f t="shared" si="55"/>
        <v>1.52</v>
      </c>
      <c r="O138" s="203">
        <f t="shared" si="56"/>
        <v>1.52</v>
      </c>
      <c r="P138" s="203">
        <f t="shared" si="57"/>
        <v>1.21</v>
      </c>
      <c r="Q138" s="203">
        <v>1.21</v>
      </c>
      <c r="R138" s="112" t="s">
        <v>34</v>
      </c>
      <c r="S138" s="112" t="s">
        <v>34</v>
      </c>
      <c r="T138" s="112" t="s">
        <v>34</v>
      </c>
      <c r="U138" s="204">
        <f t="shared" si="58"/>
        <v>42.610000000000014</v>
      </c>
    </row>
    <row r="139" spans="1:21" ht="14.25">
      <c r="A139" s="138">
        <v>5220</v>
      </c>
      <c r="B139" s="590" t="s">
        <v>221</v>
      </c>
      <c r="C139" s="515"/>
      <c r="D139" s="515"/>
      <c r="E139" s="515"/>
      <c r="F139" s="591"/>
      <c r="G139" s="236">
        <f>TabelaMatriz!I110</f>
        <v>97.89</v>
      </c>
      <c r="H139" s="149"/>
      <c r="I139" s="429" t="s">
        <v>34</v>
      </c>
      <c r="J139" s="149">
        <v>21.17</v>
      </c>
      <c r="K139" s="149">
        <f t="shared" si="53"/>
        <v>119.06</v>
      </c>
      <c r="L139" s="203">
        <v>1.95</v>
      </c>
      <c r="M139" s="203">
        <f t="shared" si="54"/>
        <v>23.81</v>
      </c>
      <c r="N139" s="203">
        <f t="shared" si="55"/>
        <v>5.95</v>
      </c>
      <c r="O139" s="203">
        <f t="shared" si="56"/>
        <v>5.95</v>
      </c>
      <c r="P139" s="203">
        <f t="shared" si="57"/>
        <v>4.76</v>
      </c>
      <c r="Q139" s="203">
        <v>4.76</v>
      </c>
      <c r="R139" s="203">
        <v>0</v>
      </c>
      <c r="S139" s="203">
        <v>0</v>
      </c>
      <c r="T139" s="112" t="s">
        <v>34</v>
      </c>
      <c r="U139" s="204">
        <f t="shared" si="58"/>
        <v>166.23999999999995</v>
      </c>
    </row>
    <row r="140" spans="1:21" ht="14.25">
      <c r="A140" s="138">
        <v>5221</v>
      </c>
      <c r="B140" s="590" t="s">
        <v>92</v>
      </c>
      <c r="C140" s="515"/>
      <c r="D140" s="515"/>
      <c r="E140" s="515"/>
      <c r="F140" s="591"/>
      <c r="G140" s="236">
        <f>TabelaMatriz!I111</f>
        <v>97.89</v>
      </c>
      <c r="H140" s="149"/>
      <c r="I140" s="429" t="s">
        <v>34</v>
      </c>
      <c r="J140" s="149">
        <v>21.17</v>
      </c>
      <c r="K140" s="149">
        <f t="shared" si="53"/>
        <v>119.06</v>
      </c>
      <c r="L140" s="203">
        <v>1.95</v>
      </c>
      <c r="M140" s="203">
        <f t="shared" si="54"/>
        <v>23.81</v>
      </c>
      <c r="N140" s="203">
        <f t="shared" si="55"/>
        <v>5.95</v>
      </c>
      <c r="O140" s="203">
        <f t="shared" si="56"/>
        <v>5.95</v>
      </c>
      <c r="P140" s="203">
        <f t="shared" si="57"/>
        <v>4.76</v>
      </c>
      <c r="Q140" s="203">
        <v>4.76</v>
      </c>
      <c r="R140" s="203">
        <v>0</v>
      </c>
      <c r="S140" s="203">
        <v>0</v>
      </c>
      <c r="T140" s="112" t="s">
        <v>34</v>
      </c>
      <c r="U140" s="204">
        <f t="shared" si="58"/>
        <v>166.23999999999995</v>
      </c>
    </row>
    <row r="141" spans="1:21" ht="30" customHeight="1">
      <c r="A141" s="253">
        <v>5212</v>
      </c>
      <c r="B141" s="588" t="s">
        <v>223</v>
      </c>
      <c r="C141" s="504"/>
      <c r="D141" s="504"/>
      <c r="E141" s="504"/>
      <c r="F141" s="519"/>
      <c r="G141" s="236">
        <f>TabelaMatriz!I112</f>
        <v>30.46</v>
      </c>
      <c r="H141" s="149">
        <v>20.7</v>
      </c>
      <c r="I141" s="429" t="s">
        <v>34</v>
      </c>
      <c r="J141" s="149">
        <v>21.17</v>
      </c>
      <c r="K141" s="149">
        <f t="shared" si="53"/>
        <v>72.33</v>
      </c>
      <c r="L141" s="203">
        <v>0.6</v>
      </c>
      <c r="M141" s="203">
        <f t="shared" si="54"/>
        <v>14.46</v>
      </c>
      <c r="N141" s="203">
        <f t="shared" si="55"/>
        <v>3.61</v>
      </c>
      <c r="O141" s="203">
        <f t="shared" si="56"/>
        <v>3.61</v>
      </c>
      <c r="P141" s="203">
        <f t="shared" si="57"/>
        <v>2.89</v>
      </c>
      <c r="Q141" s="203">
        <v>2.89</v>
      </c>
      <c r="R141" s="203">
        <v>0</v>
      </c>
      <c r="S141" s="203">
        <v>0</v>
      </c>
      <c r="T141" s="112" t="s">
        <v>34</v>
      </c>
      <c r="U141" s="204">
        <f t="shared" si="58"/>
        <v>100.38999999999999</v>
      </c>
    </row>
    <row r="142" spans="1:21" ht="14.25">
      <c r="A142" s="138"/>
      <c r="B142" s="590" t="s">
        <v>222</v>
      </c>
      <c r="C142" s="515"/>
      <c r="D142" s="515"/>
      <c r="E142" s="515"/>
      <c r="F142" s="591"/>
      <c r="G142" s="236">
        <f>TabelaMatriz!I113</f>
        <v>2.84</v>
      </c>
      <c r="H142" s="149"/>
      <c r="I142" s="429" t="s">
        <v>34</v>
      </c>
      <c r="J142" s="148"/>
      <c r="K142" s="149">
        <f t="shared" si="53"/>
        <v>2.84</v>
      </c>
      <c r="L142" s="203">
        <f t="shared" si="59"/>
        <v>0.05</v>
      </c>
      <c r="M142" s="203">
        <f t="shared" si="54"/>
        <v>0.56000000000000005</v>
      </c>
      <c r="N142" s="203">
        <f t="shared" si="55"/>
        <v>0.14000000000000001</v>
      </c>
      <c r="O142" s="203">
        <f t="shared" si="56"/>
        <v>0.14000000000000001</v>
      </c>
      <c r="P142" s="203">
        <f t="shared" si="57"/>
        <v>0.11</v>
      </c>
      <c r="Q142" s="203">
        <v>0.11</v>
      </c>
      <c r="R142" s="112" t="s">
        <v>34</v>
      </c>
      <c r="S142" s="112" t="s">
        <v>34</v>
      </c>
      <c r="T142" s="112" t="s">
        <v>34</v>
      </c>
      <c r="U142" s="204">
        <f t="shared" si="58"/>
        <v>3.9499999999999997</v>
      </c>
    </row>
    <row r="143" spans="1:21" ht="27" customHeight="1">
      <c r="A143" s="138"/>
      <c r="B143" s="595" t="s">
        <v>94</v>
      </c>
      <c r="C143" s="596"/>
      <c r="D143" s="596"/>
      <c r="E143" s="596"/>
      <c r="F143" s="597"/>
      <c r="G143" s="390">
        <f>TabelaMatriz!I114</f>
        <v>17.079999999999998</v>
      </c>
      <c r="H143" s="149"/>
      <c r="I143" s="429" t="s">
        <v>34</v>
      </c>
      <c r="J143" s="148"/>
      <c r="K143" s="149">
        <f t="shared" si="53"/>
        <v>17.079999999999998</v>
      </c>
      <c r="L143" s="203">
        <f t="shared" si="59"/>
        <v>0.34</v>
      </c>
      <c r="M143" s="203">
        <f t="shared" si="54"/>
        <v>3.41</v>
      </c>
      <c r="N143" s="203">
        <f t="shared" si="55"/>
        <v>0.85</v>
      </c>
      <c r="O143" s="203">
        <f t="shared" si="56"/>
        <v>0.85</v>
      </c>
      <c r="P143" s="203">
        <f t="shared" si="57"/>
        <v>0.68</v>
      </c>
      <c r="Q143" s="203">
        <v>0.68</v>
      </c>
      <c r="R143" s="112" t="s">
        <v>34</v>
      </c>
      <c r="S143" s="112" t="s">
        <v>34</v>
      </c>
      <c r="T143" s="112" t="s">
        <v>34</v>
      </c>
      <c r="U143" s="204">
        <f t="shared" si="58"/>
        <v>23.89</v>
      </c>
    </row>
    <row r="144" spans="1:21" ht="33" customHeight="1">
      <c r="A144" s="8">
        <v>5011</v>
      </c>
      <c r="B144" s="588" t="s">
        <v>327</v>
      </c>
      <c r="C144" s="504"/>
      <c r="D144" s="504"/>
      <c r="E144" s="504"/>
      <c r="F144" s="504"/>
      <c r="G144" s="236">
        <f>TabelaMatriz!I115</f>
        <v>65.239999999999995</v>
      </c>
      <c r="H144" s="149"/>
      <c r="I144" s="429" t="s">
        <v>34</v>
      </c>
      <c r="J144" s="148"/>
      <c r="K144" s="149">
        <f t="shared" si="53"/>
        <v>65.239999999999995</v>
      </c>
      <c r="L144" s="203">
        <f t="shared" si="59"/>
        <v>1.3</v>
      </c>
      <c r="M144" s="203">
        <f t="shared" si="54"/>
        <v>13.04</v>
      </c>
      <c r="N144" s="203">
        <f t="shared" si="55"/>
        <v>3.26</v>
      </c>
      <c r="O144" s="203">
        <f t="shared" si="56"/>
        <v>3.26</v>
      </c>
      <c r="P144" s="203">
        <f t="shared" si="57"/>
        <v>2.6</v>
      </c>
      <c r="Q144" s="203">
        <v>2.6</v>
      </c>
      <c r="R144" s="203">
        <v>0</v>
      </c>
      <c r="S144" s="203">
        <v>0</v>
      </c>
      <c r="T144" s="112" t="s">
        <v>34</v>
      </c>
      <c r="U144" s="391">
        <f t="shared" si="58"/>
        <v>91.299999999999983</v>
      </c>
    </row>
    <row r="145" spans="1:21" ht="22.5" customHeight="1">
      <c r="A145" s="46" t="s">
        <v>460</v>
      </c>
      <c r="B145" s="600" t="s">
        <v>443</v>
      </c>
      <c r="C145" s="601"/>
      <c r="D145" s="601"/>
      <c r="E145" s="601"/>
      <c r="F145" s="601"/>
      <c r="G145" s="411"/>
      <c r="H145" s="149"/>
      <c r="I145" s="429"/>
      <c r="J145" s="148"/>
      <c r="K145" s="149"/>
      <c r="L145" s="203"/>
      <c r="M145" s="203"/>
      <c r="N145" s="203"/>
      <c r="O145" s="203"/>
      <c r="P145" s="203"/>
      <c r="Q145" s="203"/>
      <c r="R145" s="203"/>
      <c r="S145" s="203"/>
      <c r="T145" s="112"/>
      <c r="U145" s="391"/>
    </row>
    <row r="146" spans="1:21" ht="16.5" customHeight="1">
      <c r="A146" s="46" t="s">
        <v>461</v>
      </c>
      <c r="B146" s="588" t="s">
        <v>435</v>
      </c>
      <c r="C146" s="504"/>
      <c r="D146" s="504"/>
      <c r="E146" s="504"/>
      <c r="F146" s="504"/>
      <c r="G146" s="236">
        <f>TabelaMatriz!I117</f>
        <v>166.22</v>
      </c>
      <c r="H146" s="149">
        <v>20.7</v>
      </c>
      <c r="I146" s="429" t="s">
        <v>34</v>
      </c>
      <c r="J146" s="266">
        <v>21.17</v>
      </c>
      <c r="K146" s="149">
        <f t="shared" si="53"/>
        <v>208.08999999999997</v>
      </c>
      <c r="L146" s="203">
        <v>3.32</v>
      </c>
      <c r="M146" s="203">
        <f>TRUNC(K146*20%,2)</f>
        <v>41.61</v>
      </c>
      <c r="N146" s="203">
        <f>TRUNC(K146*5%,2)</f>
        <v>10.4</v>
      </c>
      <c r="O146" s="203">
        <f>N146</f>
        <v>10.4</v>
      </c>
      <c r="P146" s="203">
        <f>TRUNC(K146*4%,2)</f>
        <v>8.32</v>
      </c>
      <c r="Q146" s="203">
        <v>8.32</v>
      </c>
      <c r="R146" s="203">
        <v>0</v>
      </c>
      <c r="S146" s="203">
        <v>0</v>
      </c>
      <c r="T146" s="112" t="s">
        <v>34</v>
      </c>
      <c r="U146" s="391">
        <f>SUM(K146:T146)</f>
        <v>290.45999999999992</v>
      </c>
    </row>
    <row r="147" spans="1:21" ht="16.5" customHeight="1">
      <c r="A147" s="8"/>
      <c r="B147" s="588" t="s">
        <v>444</v>
      </c>
      <c r="C147" s="504"/>
      <c r="D147" s="504"/>
      <c r="E147" s="504"/>
      <c r="F147" s="504"/>
      <c r="G147" s="236">
        <f>TabelaMatriz!I118</f>
        <v>30.46</v>
      </c>
      <c r="H147" s="149">
        <v>20.7</v>
      </c>
      <c r="I147" s="429" t="s">
        <v>34</v>
      </c>
      <c r="J147" s="266">
        <v>21.17</v>
      </c>
      <c r="K147" s="149">
        <f t="shared" si="53"/>
        <v>72.33</v>
      </c>
      <c r="L147" s="203">
        <v>0.6</v>
      </c>
      <c r="M147" s="203">
        <f>TRUNC(K147*20%,2)</f>
        <v>14.46</v>
      </c>
      <c r="N147" s="203">
        <f>TRUNC(K147*5%,2)</f>
        <v>3.61</v>
      </c>
      <c r="O147" s="203">
        <f>N147</f>
        <v>3.61</v>
      </c>
      <c r="P147" s="203">
        <f>TRUNC(K147*4%,2)</f>
        <v>2.89</v>
      </c>
      <c r="Q147" s="203">
        <v>2.89</v>
      </c>
      <c r="R147" s="203">
        <v>0</v>
      </c>
      <c r="S147" s="203">
        <v>0</v>
      </c>
      <c r="T147" s="112" t="s">
        <v>34</v>
      </c>
      <c r="U147" s="391">
        <f>SUM(K147:T147)</f>
        <v>100.38999999999999</v>
      </c>
    </row>
    <row r="148" spans="1:21" ht="16.5" customHeight="1">
      <c r="A148" s="8"/>
      <c r="B148" s="588" t="s">
        <v>445</v>
      </c>
      <c r="C148" s="504"/>
      <c r="D148" s="504"/>
      <c r="E148" s="504"/>
      <c r="F148" s="504"/>
      <c r="G148" s="236">
        <f>TabelaMatriz!I119</f>
        <v>30.46</v>
      </c>
      <c r="H148" s="149">
        <v>20.7</v>
      </c>
      <c r="I148" s="429" t="s">
        <v>34</v>
      </c>
      <c r="J148" s="148"/>
      <c r="K148" s="149">
        <f t="shared" si="53"/>
        <v>51.16</v>
      </c>
      <c r="L148" s="203">
        <f t="shared" si="59"/>
        <v>0.6</v>
      </c>
      <c r="M148" s="203">
        <f>TRUNC(K148*20%,2)</f>
        <v>10.23</v>
      </c>
      <c r="N148" s="203">
        <f>TRUNC(K148*5%,2)</f>
        <v>2.5499999999999998</v>
      </c>
      <c r="O148" s="203">
        <f>N148</f>
        <v>2.5499999999999998</v>
      </c>
      <c r="P148" s="203">
        <f>TRUNC(K148*4%,2)</f>
        <v>2.04</v>
      </c>
      <c r="Q148" s="203">
        <v>2.04</v>
      </c>
      <c r="R148" s="112" t="s">
        <v>34</v>
      </c>
      <c r="S148" s="112" t="s">
        <v>34</v>
      </c>
      <c r="T148" s="112" t="s">
        <v>34</v>
      </c>
      <c r="U148" s="391">
        <f>SUM(K148:T148)</f>
        <v>71.17</v>
      </c>
    </row>
    <row r="149" spans="1:21" ht="16.5" customHeight="1">
      <c r="A149" s="392"/>
      <c r="B149" s="602" t="s">
        <v>438</v>
      </c>
      <c r="C149" s="603"/>
      <c r="D149" s="603"/>
      <c r="E149" s="603"/>
      <c r="F149" s="603"/>
      <c r="G149" s="145" t="s">
        <v>493</v>
      </c>
      <c r="H149" s="228"/>
      <c r="I149" s="430"/>
      <c r="J149" s="216"/>
      <c r="K149" s="228"/>
      <c r="L149" s="217"/>
      <c r="M149" s="217"/>
      <c r="N149" s="217"/>
      <c r="O149" s="217"/>
      <c r="P149" s="217"/>
      <c r="Q149" s="217"/>
      <c r="R149" s="217"/>
      <c r="S149" s="217"/>
      <c r="T149" s="218"/>
      <c r="U149" s="393"/>
    </row>
    <row r="150" spans="1:21" ht="6.75" customHeight="1" thickBot="1"/>
    <row r="151" spans="1:21" ht="22.5" customHeight="1" thickBot="1">
      <c r="A151" s="618" t="s">
        <v>1</v>
      </c>
      <c r="B151" s="619"/>
      <c r="C151" s="619"/>
      <c r="D151" s="619"/>
      <c r="E151" s="620"/>
      <c r="F151" s="621" t="s">
        <v>253</v>
      </c>
      <c r="G151" s="621"/>
      <c r="H151" s="589">
        <f>U118</f>
        <v>29.600000000000005</v>
      </c>
      <c r="I151" s="589"/>
      <c r="J151" s="613" t="s">
        <v>225</v>
      </c>
      <c r="K151" s="614"/>
      <c r="L151" s="614"/>
      <c r="M151" s="615"/>
      <c r="N151" s="224">
        <f>U114</f>
        <v>166.23999999999995</v>
      </c>
      <c r="O151" s="103" t="s">
        <v>224</v>
      </c>
      <c r="P151" s="225">
        <f>H151+N151</f>
        <v>195.83999999999995</v>
      </c>
      <c r="Q151" s="641" t="s">
        <v>226</v>
      </c>
      <c r="R151" s="642"/>
      <c r="S151" s="642"/>
      <c r="T151" s="642"/>
      <c r="U151" s="643"/>
    </row>
    <row r="152" spans="1:21" ht="1.5" customHeight="1">
      <c r="A152" s="104"/>
      <c r="B152" s="104"/>
      <c r="C152" s="104"/>
      <c r="D152" s="104"/>
      <c r="E152" s="104"/>
      <c r="F152" s="105"/>
      <c r="G152" s="105"/>
      <c r="H152" s="231"/>
      <c r="I152" s="149"/>
      <c r="J152" s="149"/>
      <c r="K152" s="106"/>
      <c r="L152" s="106"/>
      <c r="M152" s="106"/>
      <c r="N152" s="150"/>
      <c r="O152" s="107"/>
      <c r="P152" s="151"/>
      <c r="Q152" s="151"/>
      <c r="R152" s="99"/>
      <c r="S152" s="99"/>
      <c r="T152" s="99"/>
      <c r="U152" s="99"/>
    </row>
    <row r="153" spans="1:21" ht="15.75" customHeight="1">
      <c r="A153" s="104"/>
      <c r="B153" s="626" t="s">
        <v>315</v>
      </c>
      <c r="C153" s="627"/>
      <c r="D153" s="627"/>
      <c r="E153" s="627"/>
      <c r="F153" s="627"/>
      <c r="G153" s="627"/>
      <c r="H153" s="628"/>
      <c r="I153" s="136" t="s">
        <v>238</v>
      </c>
      <c r="J153" s="136" t="s">
        <v>280</v>
      </c>
      <c r="K153" s="616" t="s">
        <v>241</v>
      </c>
      <c r="L153" s="311">
        <v>0.02</v>
      </c>
      <c r="M153" s="314">
        <v>0.2</v>
      </c>
      <c r="N153" s="311">
        <v>0.05</v>
      </c>
      <c r="O153" s="311">
        <v>0.05</v>
      </c>
      <c r="P153" s="311">
        <v>0.04</v>
      </c>
      <c r="Q153" s="639" t="s">
        <v>488</v>
      </c>
      <c r="R153" s="282" t="s">
        <v>347</v>
      </c>
      <c r="S153" s="282" t="s">
        <v>348</v>
      </c>
      <c r="T153" s="624" t="s">
        <v>37</v>
      </c>
      <c r="U153" s="622" t="s">
        <v>3</v>
      </c>
    </row>
    <row r="154" spans="1:21" ht="21" customHeight="1">
      <c r="A154" s="104"/>
      <c r="B154" s="629" t="s">
        <v>316</v>
      </c>
      <c r="C154" s="630"/>
      <c r="D154" s="630"/>
      <c r="E154" s="630"/>
      <c r="F154" s="630"/>
      <c r="G154" s="630"/>
      <c r="H154" s="631"/>
      <c r="I154" s="119" t="s">
        <v>317</v>
      </c>
      <c r="J154" s="239" t="s">
        <v>318</v>
      </c>
      <c r="K154" s="617"/>
      <c r="L154" s="313" t="s">
        <v>349</v>
      </c>
      <c r="M154" s="315" t="s">
        <v>350</v>
      </c>
      <c r="N154" s="313" t="s">
        <v>351</v>
      </c>
      <c r="O154" s="313" t="s">
        <v>352</v>
      </c>
      <c r="P154" s="313" t="s">
        <v>355</v>
      </c>
      <c r="Q154" s="640"/>
      <c r="R154" s="313" t="s">
        <v>353</v>
      </c>
      <c r="S154" s="313" t="s">
        <v>354</v>
      </c>
      <c r="T154" s="625"/>
      <c r="U154" s="623"/>
    </row>
    <row r="155" spans="1:21" ht="41.25" customHeight="1">
      <c r="A155" s="104"/>
      <c r="B155" s="632" t="s">
        <v>363</v>
      </c>
      <c r="C155" s="633"/>
      <c r="D155" s="633"/>
      <c r="E155" s="633"/>
      <c r="F155" s="633"/>
      <c r="G155" s="633"/>
      <c r="H155" s="634"/>
      <c r="I155" s="228">
        <f>TabelaMatriz!I6</f>
        <v>0.86</v>
      </c>
      <c r="J155" s="216" t="s">
        <v>34</v>
      </c>
      <c r="K155" s="228">
        <f>SUM(H155:J155)</f>
        <v>0.86</v>
      </c>
      <c r="L155" s="217" t="s">
        <v>34</v>
      </c>
      <c r="M155" s="217">
        <f>TRUNC(K155*20%,2)</f>
        <v>0.17</v>
      </c>
      <c r="N155" s="217">
        <f>TRUNC(K155*5%,2)</f>
        <v>0.04</v>
      </c>
      <c r="O155" s="217">
        <f>N155</f>
        <v>0.04</v>
      </c>
      <c r="P155" s="217">
        <f>TRUNC(K155*4%,2)</f>
        <v>0.03</v>
      </c>
      <c r="Q155" s="217">
        <v>0.03</v>
      </c>
      <c r="R155" s="217" t="s">
        <v>34</v>
      </c>
      <c r="S155" s="217" t="s">
        <v>34</v>
      </c>
      <c r="T155" s="218" t="s">
        <v>34</v>
      </c>
      <c r="U155" s="219">
        <f>SUM(K155:T155)</f>
        <v>1.1700000000000002</v>
      </c>
    </row>
    <row r="156" spans="1:21" ht="42.75" customHeight="1">
      <c r="A156" s="104"/>
      <c r="B156" s="635" t="s">
        <v>364</v>
      </c>
      <c r="C156" s="636"/>
      <c r="D156" s="636"/>
      <c r="E156" s="636"/>
      <c r="F156" s="636"/>
      <c r="G156" s="636"/>
      <c r="H156" s="637"/>
      <c r="I156" s="228">
        <f>TabelaMatriz!I6</f>
        <v>0.86</v>
      </c>
      <c r="J156" s="228">
        <f>TabelaMatriz!I7</f>
        <v>19.82</v>
      </c>
      <c r="K156" s="255">
        <f>SUM(H156:J156)</f>
        <v>20.68</v>
      </c>
      <c r="L156" s="256" t="s">
        <v>34</v>
      </c>
      <c r="M156" s="256">
        <f>TRUNC(K156*20%,2)</f>
        <v>4.13</v>
      </c>
      <c r="N156" s="256">
        <f>TRUNC(K156*5%,2)</f>
        <v>1.03</v>
      </c>
      <c r="O156" s="256">
        <f>N156</f>
        <v>1.03</v>
      </c>
      <c r="P156" s="256">
        <f>TRUNC(K156*4%,2)</f>
        <v>0.82</v>
      </c>
      <c r="Q156" s="217">
        <v>0.82</v>
      </c>
      <c r="R156" s="256" t="s">
        <v>34</v>
      </c>
      <c r="S156" s="256" t="s">
        <v>34</v>
      </c>
      <c r="T156" s="256" t="s">
        <v>34</v>
      </c>
      <c r="U156" s="257">
        <f>SUM(K156:T156)</f>
        <v>28.51</v>
      </c>
    </row>
    <row r="157" spans="1:21" ht="30" customHeight="1">
      <c r="A157" s="104"/>
      <c r="B157" s="638" t="s">
        <v>503</v>
      </c>
      <c r="C157" s="638"/>
      <c r="D157" s="638"/>
      <c r="E157" s="638"/>
      <c r="F157" s="638"/>
      <c r="G157" s="638"/>
      <c r="H157" s="638"/>
      <c r="I157" s="228">
        <f>TabelaMatriz!I6</f>
        <v>0.86</v>
      </c>
      <c r="J157" s="228">
        <f>TabelaMatriz!I7/2</f>
        <v>9.91</v>
      </c>
      <c r="K157" s="255">
        <f>SUM(H157:J157)</f>
        <v>10.77</v>
      </c>
      <c r="L157" s="256" t="s">
        <v>34</v>
      </c>
      <c r="M157" s="256">
        <f>TRUNC(K157*20%,2)</f>
        <v>2.15</v>
      </c>
      <c r="N157" s="256">
        <f>TRUNC(K157*5%,2)</f>
        <v>0.53</v>
      </c>
      <c r="O157" s="256">
        <f>N157</f>
        <v>0.53</v>
      </c>
      <c r="P157" s="256">
        <f>TRUNC(K157*4%,2)</f>
        <v>0.43</v>
      </c>
      <c r="Q157" s="217">
        <v>0.43</v>
      </c>
      <c r="R157" s="256" t="s">
        <v>34</v>
      </c>
      <c r="S157" s="256" t="s">
        <v>34</v>
      </c>
      <c r="T157" s="256" t="s">
        <v>34</v>
      </c>
      <c r="U157" s="257">
        <f>SUM(K157:T157)</f>
        <v>14.839999999999998</v>
      </c>
    </row>
    <row r="158" spans="1:21" ht="6" customHeight="1">
      <c r="A158" s="104"/>
      <c r="B158" s="104"/>
      <c r="C158" s="104"/>
      <c r="D158" s="104"/>
      <c r="E158" s="104"/>
      <c r="F158" s="105"/>
      <c r="G158" s="105"/>
      <c r="H158" s="231"/>
      <c r="I158" s="149"/>
      <c r="J158" s="149"/>
      <c r="K158" s="106"/>
      <c r="L158" s="106"/>
      <c r="M158" s="106"/>
      <c r="N158" s="150"/>
      <c r="O158" s="107"/>
      <c r="P158" s="151"/>
      <c r="Q158" s="151"/>
      <c r="R158" s="99"/>
      <c r="S158" s="99"/>
      <c r="T158" s="99"/>
      <c r="U158" s="232"/>
    </row>
    <row r="159" spans="1:21" ht="10.5" customHeight="1">
      <c r="A159" s="104"/>
      <c r="B159" s="104"/>
      <c r="C159" s="104"/>
      <c r="D159" s="104"/>
      <c r="E159" s="142" t="s">
        <v>0</v>
      </c>
      <c r="F159" s="28"/>
      <c r="G159" s="149"/>
      <c r="H159" s="149"/>
      <c r="I159" s="149"/>
      <c r="J159" s="149"/>
      <c r="K159" s="149"/>
      <c r="L159" s="106"/>
      <c r="M159" s="106"/>
      <c r="N159" s="106"/>
      <c r="O159" s="107"/>
      <c r="P159" s="106"/>
      <c r="Q159" s="106"/>
      <c r="R159" s="99"/>
      <c r="S159" s="99"/>
      <c r="T159" s="99"/>
      <c r="U159" s="99"/>
    </row>
    <row r="160" spans="1:21" ht="5.25" customHeight="1"/>
    <row r="161" spans="2:21" s="8" customFormat="1" ht="15" customHeight="1">
      <c r="B161" s="607" t="s">
        <v>464</v>
      </c>
      <c r="C161" s="608"/>
      <c r="D161" s="608"/>
      <c r="E161" s="608"/>
      <c r="F161" s="608"/>
      <c r="G161" s="608"/>
      <c r="H161" s="608"/>
      <c r="I161" s="608"/>
      <c r="J161" s="608"/>
      <c r="K161" s="608"/>
      <c r="L161" s="608"/>
      <c r="M161" s="608"/>
      <c r="N161" s="608"/>
      <c r="O161" s="608"/>
      <c r="P161" s="608"/>
      <c r="Q161" s="608"/>
      <c r="R161" s="608"/>
      <c r="S161" s="608"/>
      <c r="T161" s="608"/>
      <c r="U161" s="609"/>
    </row>
    <row r="162" spans="2:21" ht="12.75">
      <c r="B162" s="100" t="s">
        <v>36</v>
      </c>
      <c r="C162" s="101"/>
      <c r="D162" s="101"/>
      <c r="E162" s="101"/>
      <c r="F162" s="101"/>
      <c r="G162" s="146"/>
      <c r="H162" s="146"/>
      <c r="I162" s="146"/>
      <c r="J162" s="146"/>
      <c r="K162" s="146"/>
      <c r="L162" s="101"/>
      <c r="M162" s="101"/>
      <c r="N162" s="101"/>
      <c r="O162" s="101"/>
      <c r="P162" s="101"/>
      <c r="Q162" s="101"/>
      <c r="R162" s="101"/>
      <c r="S162" s="101"/>
      <c r="T162" s="101"/>
      <c r="U162" s="102"/>
    </row>
    <row r="163" spans="2:21" ht="30.75" customHeight="1">
      <c r="B163" s="610" t="s">
        <v>339</v>
      </c>
      <c r="C163" s="611"/>
      <c r="D163" s="611"/>
      <c r="E163" s="611"/>
      <c r="F163" s="611"/>
      <c r="G163" s="611"/>
      <c r="H163" s="611"/>
      <c r="I163" s="611"/>
      <c r="J163" s="611"/>
      <c r="K163" s="611"/>
      <c r="L163" s="611"/>
      <c r="M163" s="611"/>
      <c r="N163" s="611"/>
      <c r="O163" s="611"/>
      <c r="P163" s="611"/>
      <c r="Q163" s="611"/>
      <c r="R163" s="611"/>
      <c r="S163" s="611"/>
      <c r="T163" s="611"/>
      <c r="U163" s="612"/>
    </row>
    <row r="164" spans="2:21" ht="12.75">
      <c r="B164" s="52" t="s">
        <v>329</v>
      </c>
      <c r="C164" s="53"/>
      <c r="D164" s="53"/>
      <c r="E164" s="53"/>
      <c r="F164" s="53"/>
      <c r="G164" s="147"/>
      <c r="H164" s="147"/>
      <c r="I164" s="147"/>
      <c r="J164" s="147"/>
      <c r="K164" s="147"/>
      <c r="L164" s="53"/>
      <c r="M164" s="53"/>
      <c r="N164" s="53"/>
      <c r="O164" s="53"/>
      <c r="P164" s="53"/>
      <c r="Q164" s="53"/>
      <c r="R164" s="53"/>
      <c r="S164" s="53"/>
      <c r="T164" s="53"/>
      <c r="U164" s="54"/>
    </row>
    <row r="165" spans="2:21" ht="41.25" customHeight="1">
      <c r="B165" s="604" t="s">
        <v>470</v>
      </c>
      <c r="C165" s="605"/>
      <c r="D165" s="605"/>
      <c r="E165" s="605"/>
      <c r="F165" s="605"/>
      <c r="G165" s="605"/>
      <c r="H165" s="605"/>
      <c r="I165" s="605"/>
      <c r="J165" s="605"/>
      <c r="K165" s="605"/>
      <c r="L165" s="605"/>
      <c r="M165" s="605"/>
      <c r="N165" s="605"/>
      <c r="O165" s="605"/>
      <c r="P165" s="605"/>
      <c r="Q165" s="605"/>
      <c r="R165" s="605"/>
      <c r="S165" s="605"/>
      <c r="T165" s="605"/>
      <c r="U165" s="606"/>
    </row>
    <row r="166" spans="2:21">
      <c r="B166" s="233" t="s">
        <v>330</v>
      </c>
      <c r="C166" s="233"/>
      <c r="D166" s="233"/>
      <c r="E166" s="233"/>
      <c r="F166" s="233"/>
      <c r="G166" s="233"/>
      <c r="H166" s="233"/>
      <c r="I166" s="233"/>
      <c r="J166" s="233"/>
      <c r="K166" s="233"/>
      <c r="L166" s="233"/>
      <c r="M166" s="233"/>
      <c r="N166" s="233"/>
      <c r="O166" s="233"/>
      <c r="P166" s="233"/>
      <c r="Q166" s="234"/>
      <c r="R166" s="234"/>
      <c r="S166" s="235"/>
      <c r="T166" s="235"/>
      <c r="U166" s="235"/>
    </row>
    <row r="167" spans="2:21">
      <c r="B167" s="318" t="s">
        <v>365</v>
      </c>
      <c r="C167" s="147"/>
      <c r="D167" s="147"/>
      <c r="E167" s="320">
        <f>TabelaMatriz!I303</f>
        <v>21.36</v>
      </c>
      <c r="F167" s="147"/>
      <c r="G167" s="147"/>
      <c r="H167" s="147"/>
      <c r="I167" s="147"/>
      <c r="J167" s="147"/>
      <c r="K167" s="147"/>
      <c r="L167" s="147"/>
      <c r="M167" s="147"/>
      <c r="N167" s="147"/>
      <c r="O167" s="147"/>
      <c r="P167" s="147"/>
      <c r="Q167" s="147"/>
      <c r="R167" s="147"/>
      <c r="S167" s="147"/>
      <c r="T167" s="147"/>
      <c r="U167" s="319"/>
    </row>
  </sheetData>
  <mergeCells count="132">
    <mergeCell ref="B49:T49"/>
    <mergeCell ref="B109:F109"/>
    <mergeCell ref="B79:G79"/>
    <mergeCell ref="G91:G92"/>
    <mergeCell ref="Q96:Q97"/>
    <mergeCell ref="Q79:Q80"/>
    <mergeCell ref="Q67:Q68"/>
    <mergeCell ref="Q52:Q53"/>
    <mergeCell ref="B65:T65"/>
    <mergeCell ref="B77:T77"/>
    <mergeCell ref="B94:T94"/>
    <mergeCell ref="K67:K68"/>
    <mergeCell ref="I1:U1"/>
    <mergeCell ref="U3:U4"/>
    <mergeCell ref="B5:F5"/>
    <mergeCell ref="K3:K4"/>
    <mergeCell ref="B6:F6"/>
    <mergeCell ref="B7:F7"/>
    <mergeCell ref="B20:F20"/>
    <mergeCell ref="B8:G8"/>
    <mergeCell ref="B37:G37"/>
    <mergeCell ref="B1:H1"/>
    <mergeCell ref="Q3:Q4"/>
    <mergeCell ref="B23:G23"/>
    <mergeCell ref="B3:G3"/>
    <mergeCell ref="D9:E9"/>
    <mergeCell ref="T3:T4"/>
    <mergeCell ref="B4:G4"/>
    <mergeCell ref="K22:L22"/>
    <mergeCell ref="U52:U53"/>
    <mergeCell ref="B33:E33"/>
    <mergeCell ref="B47:E47"/>
    <mergeCell ref="B34:F34"/>
    <mergeCell ref="B64:F64"/>
    <mergeCell ref="B63:E63"/>
    <mergeCell ref="T52:T53"/>
    <mergeCell ref="B96:G96"/>
    <mergeCell ref="K96:K97"/>
    <mergeCell ref="B78:F78"/>
    <mergeCell ref="B80:G80"/>
    <mergeCell ref="B97:G97"/>
    <mergeCell ref="K52:K53"/>
    <mergeCell ref="B48:F48"/>
    <mergeCell ref="B36:F36"/>
    <mergeCell ref="B53:G53"/>
    <mergeCell ref="B52:G52"/>
    <mergeCell ref="B93:F93"/>
    <mergeCell ref="B67:G67"/>
    <mergeCell ref="B76:F76"/>
    <mergeCell ref="B68:G68"/>
    <mergeCell ref="T67:T68"/>
    <mergeCell ref="K79:K80"/>
    <mergeCell ref="U67:U68"/>
    <mergeCell ref="U96:U97"/>
    <mergeCell ref="U79:U80"/>
    <mergeCell ref="T79:T80"/>
    <mergeCell ref="T96:T97"/>
    <mergeCell ref="B114:F114"/>
    <mergeCell ref="G114:G115"/>
    <mergeCell ref="H114:H115"/>
    <mergeCell ref="M114:M115"/>
    <mergeCell ref="B110:U110"/>
    <mergeCell ref="N114:N115"/>
    <mergeCell ref="P114:P115"/>
    <mergeCell ref="S114:S115"/>
    <mergeCell ref="I114:I115"/>
    <mergeCell ref="U112:U113"/>
    <mergeCell ref="Q114:Q115"/>
    <mergeCell ref="Q112:Q113"/>
    <mergeCell ref="T112:T113"/>
    <mergeCell ref="U114:U115"/>
    <mergeCell ref="B115:F115"/>
    <mergeCell ref="T114:T115"/>
    <mergeCell ref="R114:R115"/>
    <mergeCell ref="L114:L115"/>
    <mergeCell ref="O114:O115"/>
    <mergeCell ref="J114:J115"/>
    <mergeCell ref="B113:G113"/>
    <mergeCell ref="B112:G112"/>
    <mergeCell ref="K112:K113"/>
    <mergeCell ref="K114:K115"/>
    <mergeCell ref="B124:F124"/>
    <mergeCell ref="B126:F126"/>
    <mergeCell ref="B127:F127"/>
    <mergeCell ref="B120:F120"/>
    <mergeCell ref="B121:F121"/>
    <mergeCell ref="B122:F122"/>
    <mergeCell ref="B123:F123"/>
    <mergeCell ref="B116:F116"/>
    <mergeCell ref="B117:F117"/>
    <mergeCell ref="B118:F118"/>
    <mergeCell ref="B119:F119"/>
    <mergeCell ref="B165:U165"/>
    <mergeCell ref="B161:U161"/>
    <mergeCell ref="B163:U163"/>
    <mergeCell ref="J151:M151"/>
    <mergeCell ref="K153:K154"/>
    <mergeCell ref="A151:E151"/>
    <mergeCell ref="F151:G151"/>
    <mergeCell ref="U153:U154"/>
    <mergeCell ref="T153:T154"/>
    <mergeCell ref="B153:H153"/>
    <mergeCell ref="B154:H154"/>
    <mergeCell ref="B155:H155"/>
    <mergeCell ref="B156:H156"/>
    <mergeCell ref="B157:H157"/>
    <mergeCell ref="Q153:Q154"/>
    <mergeCell ref="Q151:U151"/>
    <mergeCell ref="B144:F144"/>
    <mergeCell ref="H151:I151"/>
    <mergeCell ref="B140:F140"/>
    <mergeCell ref="B141:F141"/>
    <mergeCell ref="B142:F142"/>
    <mergeCell ref="B139:F139"/>
    <mergeCell ref="B125:F125"/>
    <mergeCell ref="B143:F143"/>
    <mergeCell ref="B136:F136"/>
    <mergeCell ref="B137:F137"/>
    <mergeCell ref="B138:F138"/>
    <mergeCell ref="B133:F133"/>
    <mergeCell ref="B134:F134"/>
    <mergeCell ref="B135:F135"/>
    <mergeCell ref="B128:F128"/>
    <mergeCell ref="B129:F129"/>
    <mergeCell ref="B145:F145"/>
    <mergeCell ref="B146:F146"/>
    <mergeCell ref="B147:F147"/>
    <mergeCell ref="B148:F148"/>
    <mergeCell ref="B149:F149"/>
    <mergeCell ref="B132:F132"/>
    <mergeCell ref="B130:F130"/>
    <mergeCell ref="B131:F131"/>
  </mergeCells>
  <phoneticPr fontId="15" type="noConversion"/>
  <printOptions horizontalCentered="1"/>
  <pageMargins left="0.19685039370078741" right="0" top="0.70866141732283472" bottom="0.39370078740157483" header="0.51181102362204722" footer="0.39370078740157483"/>
  <pageSetup paperSize="9" scale="80" orientation="landscape" horizontalDpi="300" verticalDpi="300" r:id="rId1"/>
  <headerFooter alignWithMargins="0"/>
</worksheet>
</file>

<file path=xl/worksheets/sheet4.xml><?xml version="1.0" encoding="utf-8"?>
<worksheet xmlns="http://schemas.openxmlformats.org/spreadsheetml/2006/main" xmlns:r="http://schemas.openxmlformats.org/officeDocument/2006/relationships">
  <sheetPr>
    <tabColor indexed="34"/>
  </sheetPr>
  <dimension ref="A1:AF82"/>
  <sheetViews>
    <sheetView showGridLines="0" zoomScale="75" zoomScaleNormal="75" workbookViewId="0">
      <selection activeCell="K19" sqref="K19"/>
    </sheetView>
  </sheetViews>
  <sheetFormatPr defaultRowHeight="12.75"/>
  <cols>
    <col min="1" max="1" width="5.7109375" style="1" customWidth="1"/>
    <col min="2" max="2" width="12" style="1" customWidth="1"/>
    <col min="3" max="3" width="7.5703125" style="1" customWidth="1"/>
    <col min="4" max="4" width="12.7109375" style="1" customWidth="1"/>
    <col min="5" max="5" width="12" style="1" customWidth="1"/>
    <col min="6" max="6" width="5.28515625" style="1" customWidth="1"/>
    <col min="7" max="7" width="9.7109375" style="201" customWidth="1"/>
    <col min="8" max="8" width="6.42578125" style="1" customWidth="1"/>
    <col min="9" max="9" width="6.85546875" style="1" customWidth="1"/>
    <col min="10" max="10" width="10.85546875" style="308" customWidth="1"/>
    <col min="11" max="11" width="7.5703125" style="1" customWidth="1"/>
    <col min="12" max="12" width="8.5703125" style="1" customWidth="1"/>
    <col min="13" max="13" width="8.140625" style="1" customWidth="1"/>
    <col min="14" max="14" width="7.7109375" style="1" customWidth="1"/>
    <col min="15" max="15" width="7.5703125" style="1" customWidth="1"/>
    <col min="16" max="16" width="6.42578125" style="1" customWidth="1"/>
    <col min="17" max="17" width="6.140625" style="1" customWidth="1"/>
    <col min="18" max="18" width="11.28515625" style="1" customWidth="1"/>
    <col min="19" max="19" width="7.140625" style="1" customWidth="1"/>
    <col min="20" max="21" width="6.140625" style="1" customWidth="1"/>
    <col min="22" max="22" width="12.85546875" style="160" customWidth="1"/>
    <col min="23" max="16384" width="9.140625" style="1"/>
  </cols>
  <sheetData>
    <row r="1" spans="2:22" s="154" customFormat="1" ht="27" customHeight="1" thickBot="1">
      <c r="B1" s="725" t="str">
        <f>TabelaMatriz!B1</f>
        <v>PORTARIA n.º 3210/2017</v>
      </c>
      <c r="C1" s="726"/>
      <c r="D1" s="726"/>
      <c r="E1" s="726"/>
      <c r="F1" s="726"/>
      <c r="G1" s="726"/>
      <c r="H1" s="726"/>
      <c r="I1" s="727"/>
      <c r="J1" s="720" t="s">
        <v>476</v>
      </c>
      <c r="K1" s="721"/>
      <c r="L1" s="721"/>
      <c r="M1" s="721"/>
      <c r="N1" s="721"/>
      <c r="O1" s="721"/>
      <c r="P1" s="721"/>
      <c r="Q1" s="721"/>
      <c r="R1" s="721"/>
      <c r="S1" s="721"/>
      <c r="T1" s="721"/>
      <c r="U1" s="721"/>
      <c r="V1" s="722"/>
    </row>
    <row r="2" spans="2:22" ht="22.5" customHeight="1">
      <c r="B2" s="731" t="s">
        <v>333</v>
      </c>
      <c r="C2" s="732"/>
      <c r="D2" s="732"/>
      <c r="E2" s="732"/>
      <c r="F2" s="733"/>
      <c r="G2" s="703" t="s">
        <v>4</v>
      </c>
      <c r="H2" s="424" t="s">
        <v>254</v>
      </c>
      <c r="I2" s="425" t="s">
        <v>255</v>
      </c>
      <c r="J2" s="623" t="s">
        <v>485</v>
      </c>
      <c r="K2" s="426">
        <v>0.02</v>
      </c>
      <c r="L2" s="426">
        <v>0.2</v>
      </c>
      <c r="M2" s="426">
        <v>0.05</v>
      </c>
      <c r="N2" s="426">
        <v>0.05</v>
      </c>
      <c r="O2" s="426">
        <v>0.04</v>
      </c>
      <c r="P2" s="724" t="s">
        <v>488</v>
      </c>
      <c r="Q2" s="625" t="s">
        <v>426</v>
      </c>
      <c r="R2" s="742" t="s">
        <v>486</v>
      </c>
      <c r="S2" s="416" t="s">
        <v>347</v>
      </c>
      <c r="T2" s="416" t="s">
        <v>498</v>
      </c>
      <c r="U2" s="742" t="s">
        <v>412</v>
      </c>
      <c r="V2" s="737" t="s">
        <v>490</v>
      </c>
    </row>
    <row r="3" spans="2:22" ht="18" customHeight="1">
      <c r="B3" s="734"/>
      <c r="C3" s="735"/>
      <c r="D3" s="735"/>
      <c r="E3" s="735"/>
      <c r="F3" s="736"/>
      <c r="G3" s="743"/>
      <c r="H3" s="153" t="s">
        <v>234</v>
      </c>
      <c r="I3" s="153" t="s">
        <v>235</v>
      </c>
      <c r="J3" s="739"/>
      <c r="K3" s="312" t="s">
        <v>357</v>
      </c>
      <c r="L3" s="223" t="s">
        <v>361</v>
      </c>
      <c r="M3" s="312" t="s">
        <v>356</v>
      </c>
      <c r="N3" s="312" t="s">
        <v>352</v>
      </c>
      <c r="O3" s="312" t="s">
        <v>355</v>
      </c>
      <c r="P3" s="640"/>
      <c r="Q3" s="723"/>
      <c r="R3" s="625"/>
      <c r="S3" s="283">
        <v>3761</v>
      </c>
      <c r="T3" s="283">
        <v>590</v>
      </c>
      <c r="U3" s="625"/>
      <c r="V3" s="738"/>
    </row>
    <row r="4" spans="2:22" ht="14.25">
      <c r="B4" s="450" t="s">
        <v>25</v>
      </c>
      <c r="C4" s="451"/>
      <c r="D4" s="451"/>
      <c r="E4" s="451" t="s">
        <v>26</v>
      </c>
      <c r="F4" s="4"/>
      <c r="G4" s="144" t="s">
        <v>15</v>
      </c>
      <c r="H4" s="9"/>
      <c r="I4" s="9"/>
      <c r="J4" s="141"/>
      <c r="V4" s="397"/>
    </row>
    <row r="5" spans="2:22">
      <c r="B5" s="452">
        <f>TabelaMatriz!B129</f>
        <v>0.01</v>
      </c>
      <c r="C5" s="277"/>
      <c r="D5" s="277"/>
      <c r="E5" s="277">
        <f>TabelaMatriz!H129</f>
        <v>15000</v>
      </c>
      <c r="F5" s="4"/>
      <c r="G5" s="247">
        <f>TabelaMatriz!I129</f>
        <v>187.63</v>
      </c>
      <c r="H5" s="149">
        <v>20.7</v>
      </c>
      <c r="I5" s="149">
        <f>+TabelaMatriz!$I$10*4</f>
        <v>48</v>
      </c>
      <c r="J5" s="352">
        <f>SUM(G5:I5)</f>
        <v>256.33</v>
      </c>
      <c r="K5" s="203">
        <f>TRUNC(G5*2%,2)</f>
        <v>3.75</v>
      </c>
      <c r="L5" s="203">
        <f>TRUNC(J5*20%,2)</f>
        <v>51.26</v>
      </c>
      <c r="M5" s="203">
        <f>TRUNC(J5*5%,2)</f>
        <v>12.81</v>
      </c>
      <c r="N5" s="203">
        <f>M5</f>
        <v>12.81</v>
      </c>
      <c r="O5" s="203">
        <f>TRUNC(J5*4%,2)</f>
        <v>10.25</v>
      </c>
      <c r="P5" s="203">
        <v>10.25</v>
      </c>
      <c r="Q5" s="203">
        <f>TabelaMatriz!$I$307</f>
        <v>26.939999999999998</v>
      </c>
      <c r="R5" s="203"/>
      <c r="S5" s="203">
        <v>0</v>
      </c>
      <c r="T5" s="203">
        <v>0</v>
      </c>
      <c r="U5" s="203">
        <f>TabelaMatriz!$I$303</f>
        <v>21.36</v>
      </c>
      <c r="V5" s="398">
        <f>SUM(J5:U5)</f>
        <v>405.76</v>
      </c>
    </row>
    <row r="6" spans="2:22">
      <c r="B6" s="452">
        <f>TabelaMatriz!B130</f>
        <v>15000.01</v>
      </c>
      <c r="C6" s="277"/>
      <c r="D6" s="277"/>
      <c r="E6" s="277">
        <f>TabelaMatriz!H130</f>
        <v>30000</v>
      </c>
      <c r="F6" s="4"/>
      <c r="G6" s="247">
        <f>TabelaMatriz!I130</f>
        <v>310.02</v>
      </c>
      <c r="H6" s="149">
        <v>20.7</v>
      </c>
      <c r="I6" s="149">
        <f>+TabelaMatriz!$I$10*4</f>
        <v>48</v>
      </c>
      <c r="J6" s="352">
        <f t="shared" ref="J6:J12" si="0">SUM(G6:I6)</f>
        <v>378.71999999999997</v>
      </c>
      <c r="K6" s="203">
        <f t="shared" ref="K6:K12" si="1">TRUNC(G6*2%,2)</f>
        <v>6.2</v>
      </c>
      <c r="L6" s="203">
        <f>TRUNC(J6*20%,2)</f>
        <v>75.739999999999995</v>
      </c>
      <c r="M6" s="203">
        <f>TRUNC(J6*5%,2)</f>
        <v>18.93</v>
      </c>
      <c r="N6" s="203">
        <f>M6</f>
        <v>18.93</v>
      </c>
      <c r="O6" s="203">
        <f>TRUNC(J6*4%,2)</f>
        <v>15.14</v>
      </c>
      <c r="P6" s="203">
        <v>15.14</v>
      </c>
      <c r="Q6" s="203">
        <f>TabelaMatriz!$I$307</f>
        <v>26.939999999999998</v>
      </c>
      <c r="R6" s="203"/>
      <c r="S6" s="203">
        <v>0</v>
      </c>
      <c r="T6" s="203">
        <v>0</v>
      </c>
      <c r="U6" s="203">
        <f>TabelaMatriz!$I$303</f>
        <v>21.36</v>
      </c>
      <c r="V6" s="398">
        <f t="shared" ref="V6:V12" si="2">SUM(J6:U6)</f>
        <v>577.1</v>
      </c>
    </row>
    <row r="7" spans="2:22">
      <c r="B7" s="452">
        <f>TabelaMatriz!B131</f>
        <v>30000.01</v>
      </c>
      <c r="C7" s="277"/>
      <c r="D7" s="277"/>
      <c r="E7" s="277">
        <f>TabelaMatriz!H131</f>
        <v>45000</v>
      </c>
      <c r="F7" s="4"/>
      <c r="G7" s="247">
        <f>TabelaMatriz!I131</f>
        <v>432.45</v>
      </c>
      <c r="H7" s="149">
        <v>20.7</v>
      </c>
      <c r="I7" s="149">
        <f>+TabelaMatriz!$I$10*4</f>
        <v>48</v>
      </c>
      <c r="J7" s="352">
        <f t="shared" si="0"/>
        <v>501.15</v>
      </c>
      <c r="K7" s="203">
        <f t="shared" si="1"/>
        <v>8.64</v>
      </c>
      <c r="L7" s="203">
        <f t="shared" ref="L7:L12" si="3">TRUNC(J7*20%,2)</f>
        <v>100.23</v>
      </c>
      <c r="M7" s="203">
        <f t="shared" ref="M7:M12" si="4">TRUNC(J7*5%,2)</f>
        <v>25.05</v>
      </c>
      <c r="N7" s="203">
        <f t="shared" ref="N7:N12" si="5">M7</f>
        <v>25.05</v>
      </c>
      <c r="O7" s="203">
        <f t="shared" ref="O7:O12" si="6">TRUNC(J7*4%,2)</f>
        <v>20.04</v>
      </c>
      <c r="P7" s="203">
        <v>20.04</v>
      </c>
      <c r="Q7" s="203">
        <f>TabelaMatriz!$I$307</f>
        <v>26.939999999999998</v>
      </c>
      <c r="R7" s="203"/>
      <c r="S7" s="203">
        <v>0</v>
      </c>
      <c r="T7" s="203">
        <v>0</v>
      </c>
      <c r="U7" s="203">
        <f>TabelaMatriz!$I$303</f>
        <v>21.36</v>
      </c>
      <c r="V7" s="398">
        <f t="shared" si="2"/>
        <v>748.49999999999989</v>
      </c>
    </row>
    <row r="8" spans="2:22">
      <c r="B8" s="452">
        <f>TabelaMatriz!B132</f>
        <v>45000.01</v>
      </c>
      <c r="C8" s="277"/>
      <c r="D8" s="277"/>
      <c r="E8" s="277">
        <f>TabelaMatriz!H132</f>
        <v>60000</v>
      </c>
      <c r="F8" s="4"/>
      <c r="G8" s="247">
        <f>TabelaMatriz!I132</f>
        <v>530.35</v>
      </c>
      <c r="H8" s="149">
        <v>20.7</v>
      </c>
      <c r="I8" s="149">
        <f>+TabelaMatriz!$I$10*4</f>
        <v>48</v>
      </c>
      <c r="J8" s="352">
        <f t="shared" si="0"/>
        <v>599.05000000000007</v>
      </c>
      <c r="K8" s="203">
        <f t="shared" si="1"/>
        <v>10.6</v>
      </c>
      <c r="L8" s="203">
        <f t="shared" si="3"/>
        <v>119.81</v>
      </c>
      <c r="M8" s="203">
        <f t="shared" si="4"/>
        <v>29.95</v>
      </c>
      <c r="N8" s="203">
        <f t="shared" si="5"/>
        <v>29.95</v>
      </c>
      <c r="O8" s="203">
        <f t="shared" si="6"/>
        <v>23.96</v>
      </c>
      <c r="P8" s="203">
        <v>23.96</v>
      </c>
      <c r="Q8" s="203">
        <f>TabelaMatriz!$I$307</f>
        <v>26.939999999999998</v>
      </c>
      <c r="R8" s="203"/>
      <c r="S8" s="203">
        <v>0</v>
      </c>
      <c r="T8" s="203">
        <v>0</v>
      </c>
      <c r="U8" s="203">
        <f>TabelaMatriz!$I$303</f>
        <v>21.36</v>
      </c>
      <c r="V8" s="398">
        <f t="shared" si="2"/>
        <v>885.58000000000027</v>
      </c>
    </row>
    <row r="9" spans="2:22">
      <c r="B9" s="452">
        <f>TabelaMatriz!B133</f>
        <v>60000.01</v>
      </c>
      <c r="C9" s="277"/>
      <c r="D9" s="277"/>
      <c r="E9" s="277">
        <f>TabelaMatriz!H133</f>
        <v>80000</v>
      </c>
      <c r="F9" s="4"/>
      <c r="G9" s="247">
        <f>TabelaMatriz!I133</f>
        <v>940</v>
      </c>
      <c r="H9" s="149">
        <v>20.7</v>
      </c>
      <c r="I9" s="149">
        <f>+TabelaMatriz!$I$10*4</f>
        <v>48</v>
      </c>
      <c r="J9" s="352">
        <f t="shared" si="0"/>
        <v>1008.7</v>
      </c>
      <c r="K9" s="203">
        <f t="shared" si="1"/>
        <v>18.8</v>
      </c>
      <c r="L9" s="203">
        <f t="shared" si="3"/>
        <v>201.74</v>
      </c>
      <c r="M9" s="203">
        <f t="shared" si="4"/>
        <v>50.43</v>
      </c>
      <c r="N9" s="203">
        <f t="shared" si="5"/>
        <v>50.43</v>
      </c>
      <c r="O9" s="203">
        <f t="shared" si="6"/>
        <v>40.340000000000003</v>
      </c>
      <c r="P9" s="203">
        <v>40.340000000000003</v>
      </c>
      <c r="Q9" s="203">
        <f>TabelaMatriz!$I$307</f>
        <v>26.939999999999998</v>
      </c>
      <c r="R9" s="203"/>
      <c r="S9" s="203">
        <v>0</v>
      </c>
      <c r="T9" s="203">
        <v>0</v>
      </c>
      <c r="U9" s="203">
        <f>TabelaMatriz!$I$303</f>
        <v>21.36</v>
      </c>
      <c r="V9" s="398">
        <f t="shared" si="2"/>
        <v>1459.08</v>
      </c>
    </row>
    <row r="10" spans="2:22">
      <c r="B10" s="452">
        <f>TabelaMatriz!B134</f>
        <v>80000.009999999995</v>
      </c>
      <c r="C10" s="277"/>
      <c r="D10" s="277"/>
      <c r="E10" s="277">
        <f>TabelaMatriz!H134</f>
        <v>100000</v>
      </c>
      <c r="F10" s="4"/>
      <c r="G10" s="247">
        <f>TabelaMatriz!I134</f>
        <v>1109.73</v>
      </c>
      <c r="H10" s="149">
        <v>20.7</v>
      </c>
      <c r="I10" s="149">
        <f>+TabelaMatriz!$I$10*4</f>
        <v>48</v>
      </c>
      <c r="J10" s="352">
        <f t="shared" si="0"/>
        <v>1178.43</v>
      </c>
      <c r="K10" s="203">
        <f t="shared" si="1"/>
        <v>22.19</v>
      </c>
      <c r="L10" s="203">
        <f t="shared" si="3"/>
        <v>235.68</v>
      </c>
      <c r="M10" s="203">
        <f t="shared" si="4"/>
        <v>58.92</v>
      </c>
      <c r="N10" s="203">
        <f t="shared" si="5"/>
        <v>58.92</v>
      </c>
      <c r="O10" s="203">
        <f t="shared" si="6"/>
        <v>47.13</v>
      </c>
      <c r="P10" s="203">
        <v>47.13</v>
      </c>
      <c r="Q10" s="203">
        <f>TabelaMatriz!$I$307</f>
        <v>26.939999999999998</v>
      </c>
      <c r="R10" s="203"/>
      <c r="S10" s="203">
        <v>0</v>
      </c>
      <c r="T10" s="203">
        <v>0</v>
      </c>
      <c r="U10" s="203">
        <f>TabelaMatriz!$I$303</f>
        <v>21.36</v>
      </c>
      <c r="V10" s="398">
        <f t="shared" si="2"/>
        <v>1696.7000000000005</v>
      </c>
    </row>
    <row r="11" spans="2:22">
      <c r="B11" s="452">
        <f>TabelaMatriz!B135</f>
        <v>100000.01</v>
      </c>
      <c r="C11" s="277"/>
      <c r="D11" s="277"/>
      <c r="E11" s="277">
        <f>TabelaMatriz!H135</f>
        <v>200000</v>
      </c>
      <c r="F11" s="4"/>
      <c r="G11" s="247">
        <f>TabelaMatriz!I135</f>
        <v>1501.39</v>
      </c>
      <c r="H11" s="149">
        <v>20.7</v>
      </c>
      <c r="I11" s="149">
        <f>+TabelaMatriz!$I$10*4</f>
        <v>48</v>
      </c>
      <c r="J11" s="352">
        <f t="shared" si="0"/>
        <v>1570.0900000000001</v>
      </c>
      <c r="K11" s="203">
        <f t="shared" si="1"/>
        <v>30.02</v>
      </c>
      <c r="L11" s="203">
        <f t="shared" si="3"/>
        <v>314.01</v>
      </c>
      <c r="M11" s="203">
        <f t="shared" si="4"/>
        <v>78.5</v>
      </c>
      <c r="N11" s="203">
        <f t="shared" si="5"/>
        <v>78.5</v>
      </c>
      <c r="O11" s="203">
        <f t="shared" si="6"/>
        <v>62.8</v>
      </c>
      <c r="P11" s="203">
        <v>62.8</v>
      </c>
      <c r="Q11" s="203">
        <f>TabelaMatriz!$I$307</f>
        <v>26.939999999999998</v>
      </c>
      <c r="R11" s="203"/>
      <c r="S11" s="203">
        <v>0</v>
      </c>
      <c r="T11" s="203">
        <v>0</v>
      </c>
      <c r="U11" s="203">
        <f>TabelaMatriz!$I$303</f>
        <v>21.36</v>
      </c>
      <c r="V11" s="398">
        <f t="shared" si="2"/>
        <v>2245.0200000000004</v>
      </c>
    </row>
    <row r="12" spans="2:22">
      <c r="B12" s="452">
        <f>TabelaMatriz!B136</f>
        <v>200000.01</v>
      </c>
      <c r="C12" s="277"/>
      <c r="D12" s="277"/>
      <c r="E12" s="277">
        <f>TabelaMatriz!H136</f>
        <v>400000</v>
      </c>
      <c r="F12" s="4"/>
      <c r="G12" s="247">
        <f>TabelaMatriz!I136</f>
        <v>1611.02</v>
      </c>
      <c r="H12" s="149">
        <v>20.7</v>
      </c>
      <c r="I12" s="149">
        <f>+TabelaMatriz!$I$10*4</f>
        <v>48</v>
      </c>
      <c r="J12" s="352">
        <f t="shared" si="0"/>
        <v>1679.72</v>
      </c>
      <c r="K12" s="203">
        <f t="shared" si="1"/>
        <v>32.22</v>
      </c>
      <c r="L12" s="203">
        <f t="shared" si="3"/>
        <v>335.94</v>
      </c>
      <c r="M12" s="203">
        <f t="shared" si="4"/>
        <v>83.98</v>
      </c>
      <c r="N12" s="203">
        <f t="shared" si="5"/>
        <v>83.98</v>
      </c>
      <c r="O12" s="203">
        <f t="shared" si="6"/>
        <v>67.180000000000007</v>
      </c>
      <c r="P12" s="203">
        <v>67.180000000000007</v>
      </c>
      <c r="Q12" s="203">
        <f>TabelaMatriz!$I$307</f>
        <v>26.939999999999998</v>
      </c>
      <c r="R12" s="203"/>
      <c r="S12" s="203">
        <v>0</v>
      </c>
      <c r="T12" s="203">
        <v>0</v>
      </c>
      <c r="U12" s="203">
        <f>TabelaMatriz!$I$303</f>
        <v>21.36</v>
      </c>
      <c r="V12" s="398">
        <f t="shared" si="2"/>
        <v>2398.5</v>
      </c>
    </row>
    <row r="13" spans="2:22" ht="9" customHeight="1">
      <c r="B13" s="457"/>
      <c r="C13" s="93"/>
      <c r="D13" s="93"/>
      <c r="E13" s="93"/>
      <c r="F13" s="93"/>
      <c r="G13" s="247"/>
      <c r="H13" s="141"/>
      <c r="I13" s="141"/>
      <c r="J13" s="352"/>
      <c r="K13" s="203"/>
      <c r="L13" s="203"/>
      <c r="M13" s="203"/>
      <c r="N13" s="203"/>
      <c r="O13" s="203"/>
      <c r="P13" s="203"/>
      <c r="Q13" s="203"/>
      <c r="R13" s="203"/>
      <c r="S13" s="203"/>
      <c r="T13" s="203"/>
      <c r="U13" s="203"/>
      <c r="V13" s="399"/>
    </row>
    <row r="14" spans="2:22" ht="39" customHeight="1">
      <c r="B14" s="740" t="s">
        <v>497</v>
      </c>
      <c r="C14" s="741"/>
      <c r="D14" s="741"/>
      <c r="E14" s="741"/>
      <c r="F14" s="741"/>
      <c r="G14" s="247">
        <f>TabelaMatriz!I138</f>
        <v>144.75</v>
      </c>
      <c r="H14" s="203" t="s">
        <v>34</v>
      </c>
      <c r="I14" s="203" t="s">
        <v>34</v>
      </c>
      <c r="J14" s="352">
        <f>SUM(G14:I14)</f>
        <v>144.75</v>
      </c>
      <c r="K14" s="203">
        <f t="shared" ref="K14:K51" si="7">TRUNC(G14*2%,2)</f>
        <v>2.89</v>
      </c>
      <c r="L14" s="203">
        <f>TRUNC(J14*20%,2)</f>
        <v>28.95</v>
      </c>
      <c r="M14" s="203">
        <f>TRUNC(J14*5%,2)</f>
        <v>7.23</v>
      </c>
      <c r="N14" s="203">
        <f>M14</f>
        <v>7.23</v>
      </c>
      <c r="O14" s="203">
        <f>TRUNC(J14*4%,2)</f>
        <v>5.79</v>
      </c>
      <c r="P14" s="203">
        <v>5.79</v>
      </c>
      <c r="Q14" s="203"/>
      <c r="R14" s="203"/>
      <c r="S14" s="203"/>
      <c r="T14" s="203"/>
      <c r="U14" s="203"/>
      <c r="V14" s="398">
        <f>SUM(J14:T14)</f>
        <v>202.62999999999994</v>
      </c>
    </row>
    <row r="15" spans="2:22" ht="20.25" customHeight="1">
      <c r="B15" s="324" t="s">
        <v>499</v>
      </c>
      <c r="C15" s="322"/>
      <c r="D15" s="322"/>
      <c r="E15" s="322"/>
      <c r="F15" s="323"/>
      <c r="G15" s="443"/>
      <c r="H15" s="155"/>
      <c r="I15" s="155"/>
      <c r="J15" s="391"/>
      <c r="K15" s="321"/>
      <c r="L15" s="112"/>
      <c r="M15" s="112"/>
      <c r="N15" s="446"/>
      <c r="O15" s="728">
        <f>TabelaMatriz!I52</f>
        <v>36451.53</v>
      </c>
      <c r="P15" s="729"/>
      <c r="Q15" s="730"/>
      <c r="R15" s="112"/>
      <c r="S15" s="112"/>
      <c r="T15" s="112"/>
      <c r="U15" s="112"/>
      <c r="V15" s="400"/>
    </row>
    <row r="16" spans="2:22" ht="9" customHeight="1">
      <c r="B16" s="289"/>
      <c r="C16" s="290"/>
      <c r="D16" s="290"/>
      <c r="E16" s="290"/>
      <c r="F16" s="290"/>
      <c r="G16" s="391"/>
      <c r="H16" s="155"/>
      <c r="I16" s="155"/>
      <c r="J16" s="391"/>
      <c r="K16" s="321"/>
      <c r="L16" s="112"/>
      <c r="M16" s="112"/>
      <c r="N16" s="112"/>
      <c r="O16" s="112"/>
      <c r="P16" s="112"/>
      <c r="Q16" s="112"/>
      <c r="R16" s="112"/>
      <c r="S16" s="112"/>
      <c r="T16" s="112"/>
      <c r="U16" s="112"/>
      <c r="V16" s="400"/>
    </row>
    <row r="17" spans="1:22" ht="27" customHeight="1">
      <c r="A17" s="270">
        <v>2386</v>
      </c>
      <c r="B17" s="751" t="s">
        <v>495</v>
      </c>
      <c r="C17" s="752"/>
      <c r="D17" s="752"/>
      <c r="E17" s="752"/>
      <c r="F17" s="752"/>
      <c r="G17" s="752"/>
      <c r="H17" s="752"/>
      <c r="I17" s="752"/>
      <c r="J17" s="352"/>
      <c r="K17" s="112"/>
      <c r="L17" s="112"/>
      <c r="M17" s="112"/>
      <c r="N17" s="112"/>
      <c r="O17" s="112"/>
      <c r="P17" s="112"/>
      <c r="Q17" s="112"/>
      <c r="R17" s="112"/>
      <c r="S17" s="112"/>
      <c r="T17" s="112"/>
      <c r="U17" s="112"/>
      <c r="V17" s="401"/>
    </row>
    <row r="18" spans="1:22">
      <c r="B18" s="455" t="s">
        <v>332</v>
      </c>
      <c r="C18" s="93"/>
      <c r="D18" s="93"/>
      <c r="E18" s="93"/>
      <c r="F18" s="93"/>
      <c r="G18" s="247">
        <f>TabelaMatriz!I142</f>
        <v>187.63</v>
      </c>
      <c r="H18" s="155">
        <v>20.7</v>
      </c>
      <c r="I18" s="155">
        <f>+TabelaMatriz!$I$10*4</f>
        <v>48</v>
      </c>
      <c r="J18" s="352">
        <f t="shared" ref="J18:J42" si="8">SUM(G18:I18)</f>
        <v>256.33</v>
      </c>
      <c r="K18" s="203">
        <f t="shared" si="7"/>
        <v>3.75</v>
      </c>
      <c r="L18" s="203">
        <f>TRUNC(J18*20%,2)</f>
        <v>51.26</v>
      </c>
      <c r="M18" s="203">
        <f>TRUNC(J18*5%,2)</f>
        <v>12.81</v>
      </c>
      <c r="N18" s="203">
        <f>M18</f>
        <v>12.81</v>
      </c>
      <c r="O18" s="203">
        <f>TRUNC(J18*4%,2)</f>
        <v>10.25</v>
      </c>
      <c r="P18" s="203">
        <v>10.25</v>
      </c>
      <c r="Q18" s="203">
        <f>TabelaMatriz!$I$307</f>
        <v>26.939999999999998</v>
      </c>
      <c r="R18" s="203"/>
      <c r="S18" s="203">
        <v>0</v>
      </c>
      <c r="T18" s="203">
        <v>0</v>
      </c>
      <c r="U18" s="203">
        <f>TabelaMatriz!$I$303</f>
        <v>21.36</v>
      </c>
      <c r="V18" s="398">
        <f>SUM(J18:U18)</f>
        <v>405.76</v>
      </c>
    </row>
    <row r="19" spans="1:22" ht="28.5" customHeight="1">
      <c r="A19" s="279"/>
      <c r="B19" s="744" t="s">
        <v>487</v>
      </c>
      <c r="C19" s="745"/>
      <c r="D19" s="746"/>
      <c r="E19" s="749">
        <f>TabelaMatriz!I144</f>
        <v>6466.54</v>
      </c>
      <c r="F19" s="750"/>
      <c r="G19" s="458">
        <v>4551</v>
      </c>
      <c r="H19" s="155">
        <v>20.7</v>
      </c>
      <c r="I19" s="155">
        <f>+TabelaMatriz!$I$10*4</f>
        <v>48</v>
      </c>
      <c r="J19" s="477">
        <v>4619.7</v>
      </c>
      <c r="K19" s="483">
        <f t="shared" si="7"/>
        <v>91.02</v>
      </c>
      <c r="L19" s="203">
        <f>TRUNC(J19*20%,2)</f>
        <v>923.94</v>
      </c>
      <c r="M19" s="203">
        <f>TRUNC(J19*5%,2)</f>
        <v>230.98</v>
      </c>
      <c r="N19" s="203">
        <f>M19</f>
        <v>230.98</v>
      </c>
      <c r="O19" s="203">
        <f>TRUNC(J19*4%,2)</f>
        <v>184.78</v>
      </c>
      <c r="P19" s="203">
        <v>184.78</v>
      </c>
      <c r="Q19" s="203">
        <f>TabelaMatriz!$I$307</f>
        <v>26.939999999999998</v>
      </c>
      <c r="R19" s="317">
        <f>SUM(J19+L19+M19+N19+O19+P19+Q19)</f>
        <v>6402.0999999999976</v>
      </c>
      <c r="S19" s="203">
        <v>0</v>
      </c>
      <c r="T19" s="203">
        <v>0</v>
      </c>
      <c r="U19" s="203">
        <f>TabelaMatriz!$I$303</f>
        <v>21.36</v>
      </c>
      <c r="V19" s="402">
        <f>R19+S19+U19</f>
        <v>6423.4599999999973</v>
      </c>
    </row>
    <row r="20" spans="1:22" ht="36" customHeight="1">
      <c r="A20" s="270">
        <v>2382</v>
      </c>
      <c r="B20" s="748" t="s">
        <v>314</v>
      </c>
      <c r="C20" s="685"/>
      <c r="D20" s="685"/>
      <c r="E20" s="685"/>
      <c r="F20" s="685"/>
      <c r="G20" s="247">
        <f>TabelaMatriz!I145</f>
        <v>1310.1099999999999</v>
      </c>
      <c r="H20" s="155">
        <v>20.7</v>
      </c>
      <c r="I20" s="155">
        <f>+TabelaMatriz!$I$10*3</f>
        <v>36</v>
      </c>
      <c r="J20" s="478">
        <f t="shared" si="8"/>
        <v>1366.81</v>
      </c>
      <c r="K20" s="203">
        <f t="shared" si="7"/>
        <v>26.2</v>
      </c>
      <c r="L20" s="203">
        <f>TRUNC(J20*20%,2)</f>
        <v>273.36</v>
      </c>
      <c r="M20" s="203">
        <f>TRUNC(J20*5%,2)</f>
        <v>68.34</v>
      </c>
      <c r="N20" s="203">
        <f>M20</f>
        <v>68.34</v>
      </c>
      <c r="O20" s="203">
        <f>TRUNC(J20*4%,2)</f>
        <v>54.67</v>
      </c>
      <c r="P20" s="203">
        <v>54.67</v>
      </c>
      <c r="Q20" s="203">
        <f>TabelaMatriz!$I$307</f>
        <v>26.939999999999998</v>
      </c>
      <c r="R20" s="203"/>
      <c r="S20" s="203">
        <v>0</v>
      </c>
      <c r="T20" s="203">
        <v>0</v>
      </c>
      <c r="U20" s="112"/>
      <c r="V20" s="403">
        <f>SUM(J20:U20)</f>
        <v>1939.33</v>
      </c>
    </row>
    <row r="21" spans="1:22" ht="20.25" customHeight="1">
      <c r="B21" s="748" t="s">
        <v>331</v>
      </c>
      <c r="C21" s="685"/>
      <c r="D21" s="685"/>
      <c r="E21" s="685"/>
      <c r="F21" s="686"/>
      <c r="G21" s="247">
        <f>TabelaMatriz!I146</f>
        <v>90.29</v>
      </c>
      <c r="H21" s="203" t="s">
        <v>34</v>
      </c>
      <c r="I21" s="203" t="s">
        <v>34</v>
      </c>
      <c r="J21" s="478">
        <f>SUM(G21:I21)</f>
        <v>90.29</v>
      </c>
      <c r="K21" s="203">
        <f>TRUNC(G21*2%,2)</f>
        <v>1.8</v>
      </c>
      <c r="L21" s="203">
        <f>TRUNC(J21*20%,2)</f>
        <v>18.05</v>
      </c>
      <c r="M21" s="203">
        <f>TRUNC(J21*5%,2)</f>
        <v>4.51</v>
      </c>
      <c r="N21" s="203">
        <f>M21</f>
        <v>4.51</v>
      </c>
      <c r="O21" s="203">
        <f>TRUNC(J21*4%,2)</f>
        <v>3.61</v>
      </c>
      <c r="P21" s="203">
        <v>3.61</v>
      </c>
      <c r="Q21" s="203"/>
      <c r="R21" s="203"/>
      <c r="S21" s="203">
        <v>0</v>
      </c>
      <c r="T21" s="203"/>
      <c r="U21" s="112"/>
      <c r="V21" s="403">
        <f>SUM(J21:U21)</f>
        <v>126.38000000000001</v>
      </c>
    </row>
    <row r="22" spans="1:22">
      <c r="B22" s="456" t="s">
        <v>97</v>
      </c>
      <c r="C22" s="93"/>
      <c r="D22" s="93"/>
      <c r="E22" s="93"/>
      <c r="F22" s="93"/>
      <c r="G22" s="247"/>
      <c r="H22" s="157"/>
      <c r="I22" s="157"/>
      <c r="J22" s="352"/>
      <c r="K22" s="203"/>
      <c r="L22" s="203"/>
      <c r="M22" s="203"/>
      <c r="N22" s="203"/>
      <c r="O22" s="203"/>
      <c r="P22" s="203"/>
      <c r="Q22" s="203"/>
      <c r="R22" s="203"/>
      <c r="S22" s="203">
        <v>0</v>
      </c>
      <c r="T22" s="203"/>
      <c r="U22" s="112"/>
      <c r="V22" s="401"/>
    </row>
    <row r="23" spans="1:22" ht="43.5" customHeight="1">
      <c r="A23" s="270">
        <v>2383</v>
      </c>
      <c r="B23" s="748" t="s">
        <v>229</v>
      </c>
      <c r="C23" s="685"/>
      <c r="D23" s="685"/>
      <c r="E23" s="685"/>
      <c r="F23" s="685"/>
      <c r="G23" s="247">
        <f>TabelaMatriz!I148</f>
        <v>99.53</v>
      </c>
      <c r="H23" s="155">
        <v>20.7</v>
      </c>
      <c r="I23" s="155">
        <v>36</v>
      </c>
      <c r="J23" s="352">
        <f t="shared" si="8"/>
        <v>156.23000000000002</v>
      </c>
      <c r="K23" s="203">
        <f t="shared" si="7"/>
        <v>1.99</v>
      </c>
      <c r="L23" s="203">
        <f>TRUNC(J23*20%,2)</f>
        <v>31.24</v>
      </c>
      <c r="M23" s="203">
        <f>TRUNC(J23*5%,2)</f>
        <v>7.81</v>
      </c>
      <c r="N23" s="203">
        <f>M23</f>
        <v>7.81</v>
      </c>
      <c r="O23" s="203">
        <f>TRUNC(J23*4%,2)</f>
        <v>6.24</v>
      </c>
      <c r="P23" s="203">
        <v>6.24</v>
      </c>
      <c r="Q23" s="203">
        <f>TabelaMatriz!$I$307</f>
        <v>26.939999999999998</v>
      </c>
      <c r="R23" s="203"/>
      <c r="S23" s="203">
        <v>0</v>
      </c>
      <c r="T23" s="203">
        <v>0</v>
      </c>
      <c r="U23" s="112"/>
      <c r="V23" s="403">
        <f>SUM(J23:U23)</f>
        <v>244.50000000000006</v>
      </c>
    </row>
    <row r="24" spans="1:22" ht="33.75" customHeight="1">
      <c r="A24" s="270">
        <v>2384</v>
      </c>
      <c r="B24" s="740" t="s">
        <v>334</v>
      </c>
      <c r="C24" s="741"/>
      <c r="D24" s="741"/>
      <c r="E24" s="741"/>
      <c r="F24" s="741"/>
      <c r="G24" s="768">
        <f>TabelaMatriz!I149</f>
        <v>261.07</v>
      </c>
      <c r="H24" s="783">
        <v>20.7</v>
      </c>
      <c r="I24" s="747">
        <f>+TabelaMatriz!$I$10*3</f>
        <v>36</v>
      </c>
      <c r="J24" s="782">
        <f t="shared" si="8"/>
        <v>317.77</v>
      </c>
      <c r="K24" s="670">
        <f t="shared" si="7"/>
        <v>5.22</v>
      </c>
      <c r="L24" s="670">
        <f>TRUNC(J24*20%,2)</f>
        <v>63.55</v>
      </c>
      <c r="M24" s="670">
        <f>TRUNC(J24*5%,2)</f>
        <v>15.88</v>
      </c>
      <c r="N24" s="670">
        <f>M24</f>
        <v>15.88</v>
      </c>
      <c r="O24" s="670">
        <f>TRUNC(J24*4%,2)</f>
        <v>12.71</v>
      </c>
      <c r="P24" s="203">
        <v>12.71</v>
      </c>
      <c r="Q24" s="670">
        <f>TabelaMatriz!$I$307</f>
        <v>26.939999999999998</v>
      </c>
      <c r="R24" s="203"/>
      <c r="S24" s="670">
        <v>0</v>
      </c>
      <c r="T24" s="670">
        <v>0</v>
      </c>
      <c r="U24" s="112"/>
      <c r="V24" s="781">
        <f>SUM(J24:U25)</f>
        <v>470.65999999999997</v>
      </c>
    </row>
    <row r="25" spans="1:22">
      <c r="A25" s="1">
        <v>2385</v>
      </c>
      <c r="B25" s="740" t="s">
        <v>494</v>
      </c>
      <c r="C25" s="741"/>
      <c r="D25" s="741"/>
      <c r="E25" s="741"/>
      <c r="F25" s="765"/>
      <c r="G25" s="769"/>
      <c r="H25" s="783"/>
      <c r="I25" s="747"/>
      <c r="J25" s="782"/>
      <c r="K25" s="670"/>
      <c r="L25" s="670"/>
      <c r="M25" s="670"/>
      <c r="N25" s="670"/>
      <c r="O25" s="670"/>
      <c r="P25" s="203"/>
      <c r="Q25" s="670"/>
      <c r="R25" s="203"/>
      <c r="S25" s="670"/>
      <c r="T25" s="670"/>
      <c r="U25" s="112"/>
      <c r="V25" s="781"/>
    </row>
    <row r="26" spans="1:22">
      <c r="A26" s="274">
        <v>2006</v>
      </c>
      <c r="B26" s="448" t="s">
        <v>100</v>
      </c>
      <c r="C26" s="93"/>
      <c r="D26" s="93"/>
      <c r="E26" s="93"/>
      <c r="F26" s="93"/>
      <c r="G26" s="247"/>
      <c r="H26" s="157"/>
      <c r="I26" s="157"/>
      <c r="J26" s="352"/>
      <c r="K26" s="203"/>
      <c r="L26" s="203"/>
      <c r="M26" s="203"/>
      <c r="N26" s="203"/>
      <c r="O26" s="203"/>
      <c r="P26" s="203"/>
      <c r="Q26" s="203"/>
      <c r="R26" s="203"/>
      <c r="S26" s="203"/>
      <c r="T26" s="203"/>
      <c r="U26" s="112"/>
      <c r="V26" s="401"/>
    </row>
    <row r="27" spans="1:22">
      <c r="B27" s="448" t="s">
        <v>101</v>
      </c>
      <c r="C27" s="175"/>
      <c r="D27" s="93"/>
      <c r="E27" s="93"/>
      <c r="F27" s="93"/>
      <c r="G27" s="247">
        <f>TabelaMatriz!I151</f>
        <v>99.53</v>
      </c>
      <c r="H27" s="155">
        <v>20.7</v>
      </c>
      <c r="I27" s="155">
        <f>+TabelaMatriz!$I$10*4</f>
        <v>48</v>
      </c>
      <c r="J27" s="352">
        <f>SUM(G27:I27)</f>
        <v>168.23000000000002</v>
      </c>
      <c r="K27" s="203">
        <f t="shared" si="7"/>
        <v>1.99</v>
      </c>
      <c r="L27" s="203">
        <f>TRUNC(J27*20%,2)</f>
        <v>33.64</v>
      </c>
      <c r="M27" s="203">
        <f>TRUNC(J27*5%,2)</f>
        <v>8.41</v>
      </c>
      <c r="N27" s="203">
        <f>M27</f>
        <v>8.41</v>
      </c>
      <c r="O27" s="203">
        <f>TRUNC(J27*4%,2)</f>
        <v>6.72</v>
      </c>
      <c r="P27" s="203">
        <v>6.72</v>
      </c>
      <c r="Q27" s="203">
        <f>TabelaMatriz!$I$307</f>
        <v>26.939999999999998</v>
      </c>
      <c r="R27" s="203"/>
      <c r="S27" s="203">
        <v>0</v>
      </c>
      <c r="T27" s="203">
        <v>0</v>
      </c>
      <c r="U27" s="112"/>
      <c r="V27" s="403">
        <f>SUM(J27:U27)</f>
        <v>261.06</v>
      </c>
    </row>
    <row r="28" spans="1:22">
      <c r="A28" s="274">
        <v>2387</v>
      </c>
      <c r="B28" s="448" t="s">
        <v>102</v>
      </c>
      <c r="C28" s="93"/>
      <c r="D28" s="93"/>
      <c r="E28" s="93"/>
      <c r="F28" s="93"/>
      <c r="G28" s="247">
        <f>TabelaMatriz!I153</f>
        <v>138.66999999999999</v>
      </c>
      <c r="H28" s="155">
        <v>20.7</v>
      </c>
      <c r="I28" s="155">
        <f>+TabelaMatriz!$I$10*3</f>
        <v>36</v>
      </c>
      <c r="J28" s="352">
        <f t="shared" si="8"/>
        <v>195.36999999999998</v>
      </c>
      <c r="K28" s="203">
        <f t="shared" si="7"/>
        <v>2.77</v>
      </c>
      <c r="L28" s="203">
        <f>TRUNC(J28*20%,2)</f>
        <v>39.07</v>
      </c>
      <c r="M28" s="203">
        <f>TRUNC(J28*5%,2)</f>
        <v>9.76</v>
      </c>
      <c r="N28" s="203">
        <f>M28</f>
        <v>9.76</v>
      </c>
      <c r="O28" s="203">
        <f>TRUNC(J28*4%,2)</f>
        <v>7.81</v>
      </c>
      <c r="P28" s="203">
        <v>7.81</v>
      </c>
      <c r="Q28" s="203">
        <f>TabelaMatriz!$I$307</f>
        <v>26.939999999999998</v>
      </c>
      <c r="R28" s="203"/>
      <c r="S28" s="203">
        <v>0</v>
      </c>
      <c r="T28" s="203">
        <v>0</v>
      </c>
      <c r="U28" s="112"/>
      <c r="V28" s="403">
        <f>SUM(J28:U28)</f>
        <v>299.28999999999996</v>
      </c>
    </row>
    <row r="29" spans="1:22">
      <c r="B29" s="448" t="s">
        <v>256</v>
      </c>
      <c r="C29" s="93"/>
      <c r="D29" s="93"/>
      <c r="E29" s="93"/>
      <c r="F29" s="93"/>
      <c r="G29" s="247">
        <f>TabelaMatriz!I154</f>
        <v>16.27</v>
      </c>
      <c r="H29" s="203" t="s">
        <v>34</v>
      </c>
      <c r="I29" s="203" t="s">
        <v>34</v>
      </c>
      <c r="J29" s="352">
        <f t="shared" si="8"/>
        <v>16.27</v>
      </c>
      <c r="K29" s="203">
        <f t="shared" si="7"/>
        <v>0.32</v>
      </c>
      <c r="L29" s="203">
        <f>TRUNC(J29*20%,2)</f>
        <v>3.25</v>
      </c>
      <c r="M29" s="203">
        <f>TRUNC(J29*5%,2)</f>
        <v>0.81</v>
      </c>
      <c r="N29" s="203">
        <f>M29</f>
        <v>0.81</v>
      </c>
      <c r="O29" s="203">
        <f>TRUNC(J29*4%,2)</f>
        <v>0.65</v>
      </c>
      <c r="P29" s="203">
        <v>0.65</v>
      </c>
      <c r="Q29" s="395" t="s">
        <v>34</v>
      </c>
      <c r="R29" s="395"/>
      <c r="S29" s="395">
        <v>0</v>
      </c>
      <c r="T29" s="395" t="s">
        <v>34</v>
      </c>
      <c r="U29" s="159"/>
      <c r="V29" s="403">
        <f>SUM(J29:U29)</f>
        <v>22.759999999999994</v>
      </c>
    </row>
    <row r="30" spans="1:22" ht="14.25">
      <c r="B30" s="110"/>
      <c r="C30" s="109"/>
      <c r="D30" s="109"/>
      <c r="E30" s="109"/>
      <c r="F30" s="109"/>
      <c r="G30" s="247"/>
      <c r="H30" s="158"/>
      <c r="I30" s="158"/>
      <c r="J30" s="352"/>
      <c r="K30" s="203"/>
      <c r="L30" s="203"/>
      <c r="M30" s="203"/>
      <c r="N30" s="203"/>
      <c r="O30" s="203"/>
      <c r="P30" s="203"/>
      <c r="Q30" s="395"/>
      <c r="R30" s="395"/>
      <c r="S30" s="395"/>
      <c r="T30" s="395"/>
      <c r="U30" s="159"/>
      <c r="V30" s="401"/>
    </row>
    <row r="31" spans="1:22" ht="14.25">
      <c r="B31" s="447" t="s">
        <v>103</v>
      </c>
      <c r="C31" s="109"/>
      <c r="D31" s="109"/>
      <c r="E31" s="109"/>
      <c r="F31" s="109"/>
      <c r="G31" s="247"/>
      <c r="H31" s="157"/>
      <c r="I31" s="157"/>
      <c r="J31" s="352"/>
      <c r="K31" s="203"/>
      <c r="L31" s="203"/>
      <c r="M31" s="203"/>
      <c r="N31" s="203"/>
      <c r="O31" s="203"/>
      <c r="P31" s="203"/>
      <c r="Q31" s="251"/>
      <c r="R31" s="251"/>
      <c r="S31" s="203"/>
      <c r="T31" s="203"/>
      <c r="U31" s="112"/>
      <c r="V31" s="401"/>
    </row>
    <row r="32" spans="1:22" ht="14.25">
      <c r="A32" s="1">
        <v>2388</v>
      </c>
      <c r="B32" s="448" t="s">
        <v>104</v>
      </c>
      <c r="C32" s="109"/>
      <c r="D32" s="109"/>
      <c r="E32" s="109"/>
      <c r="F32" s="109"/>
      <c r="G32" s="247">
        <f>TabelaMatriz!I156</f>
        <v>17.079999999999998</v>
      </c>
      <c r="H32" s="155">
        <f>+TabelaMatriz!$I$9</f>
        <v>10.35</v>
      </c>
      <c r="I32" s="155">
        <f>+TabelaMatriz!$I$10*2</f>
        <v>24</v>
      </c>
      <c r="J32" s="352">
        <f t="shared" si="8"/>
        <v>51.43</v>
      </c>
      <c r="K32" s="203">
        <f t="shared" si="7"/>
        <v>0.34</v>
      </c>
      <c r="L32" s="203">
        <f>TRUNC(J32*20%,2)</f>
        <v>10.28</v>
      </c>
      <c r="M32" s="203">
        <f>TRUNC(J32*5%,2)</f>
        <v>2.57</v>
      </c>
      <c r="N32" s="203">
        <f>M32</f>
        <v>2.57</v>
      </c>
      <c r="O32" s="203">
        <f>TRUNC(J32*4%,2)</f>
        <v>2.0499999999999998</v>
      </c>
      <c r="P32" s="203">
        <v>2.0499999999999998</v>
      </c>
      <c r="Q32" s="251">
        <f>TabelaMatriz!$I$293</f>
        <v>26.939999999999998</v>
      </c>
      <c r="R32" s="251"/>
      <c r="S32" s="203">
        <v>0</v>
      </c>
      <c r="T32" s="203">
        <v>0</v>
      </c>
      <c r="U32" s="112"/>
      <c r="V32" s="403">
        <f>SUM(J32:U32)</f>
        <v>98.22999999999999</v>
      </c>
    </row>
    <row r="33" spans="1:22" ht="14.25">
      <c r="A33" s="1">
        <v>2389</v>
      </c>
      <c r="B33" s="448" t="s">
        <v>105</v>
      </c>
      <c r="C33" s="109"/>
      <c r="D33" s="109"/>
      <c r="E33" s="109"/>
      <c r="F33" s="109"/>
      <c r="G33" s="247">
        <f>TabelaMatriz!I157</f>
        <v>244.75</v>
      </c>
      <c r="H33" s="155">
        <v>20.7</v>
      </c>
      <c r="I33" s="155">
        <f>+TabelaMatriz!$I$10*2</f>
        <v>24</v>
      </c>
      <c r="J33" s="352">
        <f t="shared" si="8"/>
        <v>289.45</v>
      </c>
      <c r="K33" s="203">
        <f t="shared" si="7"/>
        <v>4.8899999999999997</v>
      </c>
      <c r="L33" s="203">
        <f>TRUNC(J33*20%,2)</f>
        <v>57.89</v>
      </c>
      <c r="M33" s="203">
        <f>TRUNC(J33*5%,2)</f>
        <v>14.47</v>
      </c>
      <c r="N33" s="203">
        <f>M33</f>
        <v>14.47</v>
      </c>
      <c r="O33" s="203">
        <f>TRUNC(J33*4%,2)</f>
        <v>11.57</v>
      </c>
      <c r="P33" s="203">
        <v>11.57</v>
      </c>
      <c r="Q33" s="251">
        <f>TabelaMatriz!$I$293</f>
        <v>26.939999999999998</v>
      </c>
      <c r="R33" s="251"/>
      <c r="S33" s="203">
        <v>0</v>
      </c>
      <c r="T33" s="203">
        <v>0</v>
      </c>
      <c r="U33" s="112"/>
      <c r="V33" s="403">
        <f>SUM(J33:U33)</f>
        <v>431.25</v>
      </c>
    </row>
    <row r="34" spans="1:22" ht="14.25">
      <c r="A34" s="1">
        <v>2390</v>
      </c>
      <c r="B34" s="448" t="s">
        <v>106</v>
      </c>
      <c r="C34" s="109"/>
      <c r="D34" s="109"/>
      <c r="E34" s="109"/>
      <c r="F34" s="109"/>
      <c r="G34" s="247"/>
      <c r="H34" s="157"/>
      <c r="I34" s="157"/>
      <c r="J34" s="352"/>
      <c r="K34" s="203"/>
      <c r="L34" s="203"/>
      <c r="M34" s="203"/>
      <c r="N34" s="203"/>
      <c r="O34" s="203"/>
      <c r="P34" s="203"/>
      <c r="Q34" s="251"/>
      <c r="R34" s="251"/>
      <c r="S34" s="203"/>
      <c r="T34" s="203"/>
      <c r="U34" s="112"/>
      <c r="V34" s="403"/>
    </row>
    <row r="35" spans="1:22" ht="14.25">
      <c r="A35" s="274">
        <v>2391</v>
      </c>
      <c r="B35" s="448" t="s">
        <v>107</v>
      </c>
      <c r="C35" s="109"/>
      <c r="D35" s="109"/>
      <c r="E35" s="109"/>
      <c r="F35" s="109"/>
      <c r="G35" s="247">
        <f>TabelaMatriz!I159</f>
        <v>50.53</v>
      </c>
      <c r="H35" s="155">
        <v>20.7</v>
      </c>
      <c r="I35" s="155">
        <f>+TabelaMatriz!$I$10*2</f>
        <v>24</v>
      </c>
      <c r="J35" s="352">
        <f t="shared" si="8"/>
        <v>95.23</v>
      </c>
      <c r="K35" s="203">
        <f t="shared" si="7"/>
        <v>1.01</v>
      </c>
      <c r="L35" s="203">
        <f>TRUNC(J35*20%,2)</f>
        <v>19.04</v>
      </c>
      <c r="M35" s="203">
        <f>TRUNC(J35*5%,2)</f>
        <v>4.76</v>
      </c>
      <c r="N35" s="203">
        <f>M35</f>
        <v>4.76</v>
      </c>
      <c r="O35" s="203">
        <f>TRUNC(J35*4%,2)</f>
        <v>3.8</v>
      </c>
      <c r="P35" s="203">
        <v>3.8</v>
      </c>
      <c r="Q35" s="251">
        <f>TabelaMatriz!$I$293</f>
        <v>26.939999999999998</v>
      </c>
      <c r="R35" s="251"/>
      <c r="S35" s="203">
        <v>0</v>
      </c>
      <c r="T35" s="203">
        <v>0</v>
      </c>
      <c r="U35" s="112"/>
      <c r="V35" s="403">
        <f>SUM(J35:U35)</f>
        <v>159.34000000000003</v>
      </c>
    </row>
    <row r="36" spans="1:22" ht="14.25">
      <c r="B36" s="448" t="s">
        <v>108</v>
      </c>
      <c r="C36" s="109"/>
      <c r="D36" s="109"/>
      <c r="E36" s="109"/>
      <c r="F36" s="109"/>
      <c r="G36" s="247">
        <f>TabelaMatriz!I160</f>
        <v>8.1</v>
      </c>
      <c r="H36" s="203" t="s">
        <v>34</v>
      </c>
      <c r="I36" s="203" t="s">
        <v>34</v>
      </c>
      <c r="J36" s="352">
        <f t="shared" si="8"/>
        <v>8.1</v>
      </c>
      <c r="K36" s="203">
        <f t="shared" si="7"/>
        <v>0.16</v>
      </c>
      <c r="L36" s="203">
        <f>TRUNC(J36*20%,2)</f>
        <v>1.62</v>
      </c>
      <c r="M36" s="203">
        <f>TRUNC(J36*5%,2)</f>
        <v>0.4</v>
      </c>
      <c r="N36" s="203">
        <f>M36</f>
        <v>0.4</v>
      </c>
      <c r="O36" s="203">
        <f>TRUNC(J36*4%,2)</f>
        <v>0.32</v>
      </c>
      <c r="P36" s="203">
        <v>0.32</v>
      </c>
      <c r="Q36" s="395" t="s">
        <v>34</v>
      </c>
      <c r="R36" s="395"/>
      <c r="S36" s="395" t="s">
        <v>34</v>
      </c>
      <c r="T36" s="395" t="s">
        <v>34</v>
      </c>
      <c r="U36" s="159"/>
      <c r="V36" s="403">
        <f>SUM(J36:U36)</f>
        <v>11.32</v>
      </c>
    </row>
    <row r="37" spans="1:22" ht="14.25">
      <c r="B37" s="110"/>
      <c r="C37" s="109"/>
      <c r="D37" s="109"/>
      <c r="E37" s="109"/>
      <c r="F37" s="109"/>
      <c r="G37" s="247"/>
      <c r="H37" s="158"/>
      <c r="I37" s="158"/>
      <c r="J37" s="352"/>
      <c r="K37" s="203"/>
      <c r="L37" s="203"/>
      <c r="M37" s="203"/>
      <c r="N37" s="203"/>
      <c r="O37" s="203"/>
      <c r="P37" s="203"/>
      <c r="Q37" s="395"/>
      <c r="R37" s="395"/>
      <c r="S37" s="395"/>
      <c r="T37" s="395"/>
      <c r="U37" s="159"/>
      <c r="V37" s="403"/>
    </row>
    <row r="38" spans="1:22" ht="14.25">
      <c r="B38" s="447" t="s">
        <v>109</v>
      </c>
      <c r="C38" s="109"/>
      <c r="D38" s="109"/>
      <c r="E38" s="109"/>
      <c r="F38" s="109"/>
      <c r="G38" s="247"/>
      <c r="H38" s="157"/>
      <c r="I38" s="157"/>
      <c r="J38" s="352"/>
      <c r="K38" s="203"/>
      <c r="L38" s="203"/>
      <c r="M38" s="203"/>
      <c r="N38" s="203"/>
      <c r="O38" s="203"/>
      <c r="P38" s="203"/>
      <c r="Q38" s="395"/>
      <c r="R38" s="395"/>
      <c r="S38" s="395"/>
      <c r="T38" s="395"/>
      <c r="U38" s="159"/>
      <c r="V38" s="403"/>
    </row>
    <row r="39" spans="1:22" ht="14.25">
      <c r="A39" s="1">
        <v>2355</v>
      </c>
      <c r="B39" s="448" t="s">
        <v>110</v>
      </c>
      <c r="C39" s="109"/>
      <c r="D39" s="109"/>
      <c r="E39" s="109"/>
      <c r="F39" s="109"/>
      <c r="G39" s="247">
        <f>TabelaMatriz!I162</f>
        <v>5.56</v>
      </c>
      <c r="H39" s="203" t="s">
        <v>34</v>
      </c>
      <c r="I39" s="203" t="s">
        <v>34</v>
      </c>
      <c r="J39" s="352">
        <f t="shared" si="8"/>
        <v>5.56</v>
      </c>
      <c r="K39" s="203">
        <f t="shared" si="7"/>
        <v>0.11</v>
      </c>
      <c r="L39" s="203">
        <f>TRUNC(J39*20%,2)</f>
        <v>1.1100000000000001</v>
      </c>
      <c r="M39" s="203">
        <f>TRUNC(J39*5%,2)</f>
        <v>0.27</v>
      </c>
      <c r="N39" s="203">
        <f>M39</f>
        <v>0.27</v>
      </c>
      <c r="O39" s="203">
        <f>TRUNC(J39*4%,2)</f>
        <v>0.22</v>
      </c>
      <c r="P39" s="203">
        <v>0.22</v>
      </c>
      <c r="Q39" s="395" t="s">
        <v>34</v>
      </c>
      <c r="R39" s="395"/>
      <c r="S39" s="395" t="s">
        <v>34</v>
      </c>
      <c r="T39" s="395" t="s">
        <v>34</v>
      </c>
      <c r="U39" s="159"/>
      <c r="V39" s="403">
        <f>SUM(J39:U39)</f>
        <v>7.76</v>
      </c>
    </row>
    <row r="40" spans="1:22" ht="14.25">
      <c r="A40" s="1">
        <v>2356</v>
      </c>
      <c r="B40" s="448" t="s">
        <v>111</v>
      </c>
      <c r="C40" s="109"/>
      <c r="D40" s="109"/>
      <c r="E40" s="109"/>
      <c r="F40" s="109"/>
      <c r="G40" s="247">
        <f>TabelaMatriz!I163</f>
        <v>5.41</v>
      </c>
      <c r="H40" s="203" t="s">
        <v>34</v>
      </c>
      <c r="I40" s="203" t="s">
        <v>34</v>
      </c>
      <c r="J40" s="352">
        <f t="shared" si="8"/>
        <v>5.41</v>
      </c>
      <c r="K40" s="203">
        <f t="shared" si="7"/>
        <v>0.1</v>
      </c>
      <c r="L40" s="203">
        <f>TRUNC(J40*20%,2)</f>
        <v>1.08</v>
      </c>
      <c r="M40" s="203">
        <f>TRUNC(J40*5%,2)</f>
        <v>0.27</v>
      </c>
      <c r="N40" s="203">
        <f>M40</f>
        <v>0.27</v>
      </c>
      <c r="O40" s="203">
        <f>TRUNC(J40*4%,2)</f>
        <v>0.21</v>
      </c>
      <c r="P40" s="203">
        <v>0.21</v>
      </c>
      <c r="Q40" s="395" t="s">
        <v>34</v>
      </c>
      <c r="R40" s="395"/>
      <c r="S40" s="395" t="s">
        <v>34</v>
      </c>
      <c r="T40" s="395" t="s">
        <v>34</v>
      </c>
      <c r="U40" s="159"/>
      <c r="V40" s="403">
        <f>SUM(J40:U40)</f>
        <v>7.5499999999999989</v>
      </c>
    </row>
    <row r="41" spans="1:22" ht="14.25">
      <c r="A41" s="1">
        <v>2024</v>
      </c>
      <c r="B41" s="448" t="s">
        <v>112</v>
      </c>
      <c r="C41" s="109"/>
      <c r="D41" s="109"/>
      <c r="E41" s="109"/>
      <c r="F41" s="109"/>
      <c r="G41" s="247">
        <f>TabelaMatriz!I164</f>
        <v>12.06</v>
      </c>
      <c r="H41" s="155">
        <f>+TabelaMatriz!$I$9</f>
        <v>10.35</v>
      </c>
      <c r="I41" s="112"/>
      <c r="J41" s="352">
        <f t="shared" si="8"/>
        <v>22.41</v>
      </c>
      <c r="K41" s="203">
        <f>TRUNC(G41*2%,2)</f>
        <v>0.24</v>
      </c>
      <c r="L41" s="203">
        <f>TRUNC(J41*20%,2)</f>
        <v>4.4800000000000004</v>
      </c>
      <c r="M41" s="203">
        <f>TRUNC(J41*5%,2)</f>
        <v>1.1200000000000001</v>
      </c>
      <c r="N41" s="203">
        <f>M41</f>
        <v>1.1200000000000001</v>
      </c>
      <c r="O41" s="203">
        <f>TRUNC(J41*4%,2)</f>
        <v>0.89</v>
      </c>
      <c r="P41" s="203">
        <v>0.89</v>
      </c>
      <c r="Q41" s="395" t="s">
        <v>34</v>
      </c>
      <c r="R41" s="395"/>
      <c r="S41" s="395" t="s">
        <v>34</v>
      </c>
      <c r="T41" s="395" t="s">
        <v>34</v>
      </c>
      <c r="U41" s="159"/>
      <c r="V41" s="403">
        <f>SUM(J41:U41)</f>
        <v>31.150000000000002</v>
      </c>
    </row>
    <row r="42" spans="1:22" ht="14.25">
      <c r="A42" s="1">
        <v>2013</v>
      </c>
      <c r="B42" s="447" t="s">
        <v>113</v>
      </c>
      <c r="C42" s="109"/>
      <c r="D42" s="109"/>
      <c r="E42" s="109"/>
      <c r="F42" s="109"/>
      <c r="G42" s="247">
        <f>TabelaMatriz!I165</f>
        <v>5.57</v>
      </c>
      <c r="H42" s="203" t="s">
        <v>34</v>
      </c>
      <c r="I42" s="203" t="s">
        <v>34</v>
      </c>
      <c r="J42" s="352">
        <f t="shared" si="8"/>
        <v>5.57</v>
      </c>
      <c r="K42" s="203">
        <f t="shared" si="7"/>
        <v>0.11</v>
      </c>
      <c r="L42" s="203">
        <f>TRUNC(J42*20%,2)</f>
        <v>1.1100000000000001</v>
      </c>
      <c r="M42" s="203">
        <f>TRUNC(J42*5%,2)</f>
        <v>0.27</v>
      </c>
      <c r="N42" s="203">
        <f>M42</f>
        <v>0.27</v>
      </c>
      <c r="O42" s="203">
        <f>TRUNC(J42*4%,2)</f>
        <v>0.22</v>
      </c>
      <c r="P42" s="203">
        <v>0.22</v>
      </c>
      <c r="Q42" s="395" t="s">
        <v>34</v>
      </c>
      <c r="R42" s="395"/>
      <c r="S42" s="395" t="s">
        <v>34</v>
      </c>
      <c r="T42" s="395" t="s">
        <v>34</v>
      </c>
      <c r="U42" s="159"/>
      <c r="V42" s="403">
        <f>SUM(J42:U42)</f>
        <v>7.77</v>
      </c>
    </row>
    <row r="43" spans="1:22" ht="14.25">
      <c r="B43" s="448" t="s">
        <v>114</v>
      </c>
      <c r="C43" s="109"/>
      <c r="D43" s="109"/>
      <c r="E43" s="109"/>
      <c r="F43" s="109"/>
      <c r="G43" s="247"/>
      <c r="H43" s="157"/>
      <c r="I43" s="157"/>
      <c r="J43" s="352"/>
      <c r="K43" s="203"/>
      <c r="L43" s="203"/>
      <c r="M43" s="203"/>
      <c r="N43" s="203"/>
      <c r="O43" s="203"/>
      <c r="P43" s="203"/>
      <c r="Q43" s="251"/>
      <c r="R43" s="251"/>
      <c r="S43" s="203"/>
      <c r="T43" s="203"/>
      <c r="U43" s="112"/>
      <c r="V43" s="401"/>
    </row>
    <row r="44" spans="1:22" ht="14.25">
      <c r="B44" s="448" t="s">
        <v>115</v>
      </c>
      <c r="C44" s="109"/>
      <c r="D44" s="109"/>
      <c r="E44" s="109"/>
      <c r="F44" s="109"/>
      <c r="G44" s="247"/>
      <c r="H44" s="157"/>
      <c r="I44" s="157"/>
      <c r="J44" s="352"/>
      <c r="K44" s="203"/>
      <c r="L44" s="203"/>
      <c r="M44" s="203"/>
      <c r="N44" s="203"/>
      <c r="O44" s="203"/>
      <c r="P44" s="203"/>
      <c r="Q44" s="251"/>
      <c r="R44" s="251"/>
      <c r="S44" s="203"/>
      <c r="T44" s="203"/>
      <c r="U44" s="112"/>
      <c r="V44" s="401"/>
    </row>
    <row r="45" spans="1:22" ht="14.25">
      <c r="A45" s="1">
        <v>2017</v>
      </c>
      <c r="B45" s="448" t="s">
        <v>116</v>
      </c>
      <c r="C45" s="109"/>
      <c r="D45" s="109"/>
      <c r="E45" s="109"/>
      <c r="F45" s="109"/>
      <c r="G45" s="247">
        <f>TabelaMatriz!I168</f>
        <v>267.60000000000002</v>
      </c>
      <c r="H45" s="155">
        <v>20.7</v>
      </c>
      <c r="I45" s="155">
        <f>+TabelaMatriz!$I$10*2</f>
        <v>24</v>
      </c>
      <c r="J45" s="352">
        <f t="shared" ref="J45:J51" si="9">SUM(G45:I45)</f>
        <v>312.3</v>
      </c>
      <c r="K45" s="203">
        <f t="shared" si="7"/>
        <v>5.35</v>
      </c>
      <c r="L45" s="203">
        <f t="shared" ref="L45:L51" si="10">TRUNC(J45*20%,2)</f>
        <v>62.46</v>
      </c>
      <c r="M45" s="203">
        <f t="shared" ref="M45:M51" si="11">TRUNC(J45*5%,2)</f>
        <v>15.61</v>
      </c>
      <c r="N45" s="203">
        <f t="shared" ref="N45:N51" si="12">M45</f>
        <v>15.61</v>
      </c>
      <c r="O45" s="203">
        <f t="shared" ref="O45:O51" si="13">TRUNC(J45*4%,2)</f>
        <v>12.49</v>
      </c>
      <c r="P45" s="203">
        <v>12.49</v>
      </c>
      <c r="Q45" s="251">
        <f>TabelaMatriz!$I$293</f>
        <v>26.939999999999998</v>
      </c>
      <c r="R45" s="251"/>
      <c r="S45" s="203">
        <v>0</v>
      </c>
      <c r="T45" s="203">
        <v>0</v>
      </c>
      <c r="U45" s="112"/>
      <c r="V45" s="403">
        <f t="shared" ref="V45:V51" si="14">SUM(J45:U45)</f>
        <v>463.25000000000006</v>
      </c>
    </row>
    <row r="46" spans="1:22" ht="14.25">
      <c r="A46" s="1">
        <v>2018</v>
      </c>
      <c r="B46" s="448" t="s">
        <v>117</v>
      </c>
      <c r="C46" s="109"/>
      <c r="D46" s="109"/>
      <c r="E46" s="109"/>
      <c r="F46" s="109"/>
      <c r="G46" s="247">
        <f>TabelaMatriz!I169</f>
        <v>391.65</v>
      </c>
      <c r="H46" s="155">
        <v>20.7</v>
      </c>
      <c r="I46" s="155">
        <f>+TabelaMatriz!$I$10*2</f>
        <v>24</v>
      </c>
      <c r="J46" s="352">
        <f t="shared" si="9"/>
        <v>436.34999999999997</v>
      </c>
      <c r="K46" s="203">
        <f t="shared" si="7"/>
        <v>7.83</v>
      </c>
      <c r="L46" s="203">
        <f t="shared" si="10"/>
        <v>87.27</v>
      </c>
      <c r="M46" s="203">
        <f t="shared" si="11"/>
        <v>21.81</v>
      </c>
      <c r="N46" s="203">
        <f t="shared" si="12"/>
        <v>21.81</v>
      </c>
      <c r="O46" s="203">
        <f t="shared" si="13"/>
        <v>17.45</v>
      </c>
      <c r="P46" s="203">
        <v>17.45</v>
      </c>
      <c r="Q46" s="251">
        <f>TabelaMatriz!$I$293</f>
        <v>26.939999999999998</v>
      </c>
      <c r="R46" s="251"/>
      <c r="S46" s="203">
        <v>0</v>
      </c>
      <c r="T46" s="203">
        <v>0</v>
      </c>
      <c r="U46" s="112"/>
      <c r="V46" s="403">
        <f t="shared" si="14"/>
        <v>636.90999999999985</v>
      </c>
    </row>
    <row r="47" spans="1:22" ht="14.25">
      <c r="A47" s="274">
        <v>2019</v>
      </c>
      <c r="B47" s="448" t="s">
        <v>118</v>
      </c>
      <c r="C47" s="109"/>
      <c r="D47" s="109"/>
      <c r="E47" s="109"/>
      <c r="F47" s="109"/>
      <c r="G47" s="247">
        <f>TabelaMatriz!I170</f>
        <v>391.65</v>
      </c>
      <c r="H47" s="155">
        <v>20.7</v>
      </c>
      <c r="I47" s="155">
        <f>+TabelaMatriz!$I$10*2</f>
        <v>24</v>
      </c>
      <c r="J47" s="352">
        <f t="shared" si="9"/>
        <v>436.34999999999997</v>
      </c>
      <c r="K47" s="203">
        <f t="shared" si="7"/>
        <v>7.83</v>
      </c>
      <c r="L47" s="203">
        <f t="shared" si="10"/>
        <v>87.27</v>
      </c>
      <c r="M47" s="203">
        <f t="shared" si="11"/>
        <v>21.81</v>
      </c>
      <c r="N47" s="203">
        <f t="shared" si="12"/>
        <v>21.81</v>
      </c>
      <c r="O47" s="203">
        <f t="shared" si="13"/>
        <v>17.45</v>
      </c>
      <c r="P47" s="203">
        <v>17.45</v>
      </c>
      <c r="Q47" s="251">
        <f>TabelaMatriz!$I$293</f>
        <v>26.939999999999998</v>
      </c>
      <c r="R47" s="251"/>
      <c r="S47" s="203">
        <v>0</v>
      </c>
      <c r="T47" s="203">
        <v>0</v>
      </c>
      <c r="U47" s="112"/>
      <c r="V47" s="403">
        <f t="shared" si="14"/>
        <v>636.90999999999985</v>
      </c>
    </row>
    <row r="48" spans="1:22" ht="14.25">
      <c r="A48" s="274">
        <v>2020</v>
      </c>
      <c r="B48" s="448" t="s">
        <v>119</v>
      </c>
      <c r="C48" s="109"/>
      <c r="D48" s="109"/>
      <c r="E48" s="109"/>
      <c r="F48" s="57"/>
      <c r="G48" s="247">
        <f>TabelaMatriz!I171</f>
        <v>130.5</v>
      </c>
      <c r="H48" s="155">
        <v>20.7</v>
      </c>
      <c r="I48" s="155">
        <f>+TabelaMatriz!$I$10*2</f>
        <v>24</v>
      </c>
      <c r="J48" s="352">
        <f t="shared" si="9"/>
        <v>175.2</v>
      </c>
      <c r="K48" s="203">
        <f t="shared" si="7"/>
        <v>2.61</v>
      </c>
      <c r="L48" s="203">
        <f t="shared" si="10"/>
        <v>35.04</v>
      </c>
      <c r="M48" s="203">
        <f t="shared" si="11"/>
        <v>8.76</v>
      </c>
      <c r="N48" s="203">
        <f t="shared" si="12"/>
        <v>8.76</v>
      </c>
      <c r="O48" s="203">
        <f t="shared" si="13"/>
        <v>7</v>
      </c>
      <c r="P48" s="203">
        <v>7</v>
      </c>
      <c r="Q48" s="251">
        <f>TabelaMatriz!$I$293</f>
        <v>26.939999999999998</v>
      </c>
      <c r="R48" s="251"/>
      <c r="S48" s="203">
        <v>0</v>
      </c>
      <c r="T48" s="203">
        <v>0</v>
      </c>
      <c r="U48" s="112"/>
      <c r="V48" s="403">
        <f t="shared" si="14"/>
        <v>271.30999999999995</v>
      </c>
    </row>
    <row r="49" spans="1:22" ht="14.25">
      <c r="A49" s="274">
        <v>2021</v>
      </c>
      <c r="B49" s="448" t="s">
        <v>120</v>
      </c>
      <c r="C49" s="109"/>
      <c r="D49" s="109"/>
      <c r="E49" s="109"/>
      <c r="F49" s="57"/>
      <c r="G49" s="247">
        <f>TabelaMatriz!I172</f>
        <v>122.49</v>
      </c>
      <c r="H49" s="155">
        <v>20.7</v>
      </c>
      <c r="I49" s="155">
        <f>+TabelaMatriz!$I$10*2</f>
        <v>24</v>
      </c>
      <c r="J49" s="352">
        <f t="shared" si="9"/>
        <v>167.19</v>
      </c>
      <c r="K49" s="203">
        <f t="shared" si="7"/>
        <v>2.44</v>
      </c>
      <c r="L49" s="203">
        <f t="shared" si="10"/>
        <v>33.43</v>
      </c>
      <c r="M49" s="203">
        <f t="shared" si="11"/>
        <v>8.35</v>
      </c>
      <c r="N49" s="203">
        <f t="shared" si="12"/>
        <v>8.35</v>
      </c>
      <c r="O49" s="203">
        <f t="shared" si="13"/>
        <v>6.68</v>
      </c>
      <c r="P49" s="203">
        <v>6.68</v>
      </c>
      <c r="Q49" s="251">
        <f>TabelaMatriz!$I$293</f>
        <v>26.939999999999998</v>
      </c>
      <c r="R49" s="251"/>
      <c r="S49" s="203">
        <v>0</v>
      </c>
      <c r="T49" s="203">
        <v>0</v>
      </c>
      <c r="U49" s="112"/>
      <c r="V49" s="403">
        <f t="shared" si="14"/>
        <v>260.06</v>
      </c>
    </row>
    <row r="50" spans="1:22" ht="14.25">
      <c r="A50" s="274">
        <v>2359</v>
      </c>
      <c r="B50" s="449" t="s">
        <v>362</v>
      </c>
      <c r="C50" s="109"/>
      <c r="D50" s="109"/>
      <c r="E50" s="109"/>
      <c r="F50" s="57"/>
      <c r="G50" s="247">
        <f>TabelaMatriz!I173</f>
        <v>163.15</v>
      </c>
      <c r="H50" s="155">
        <v>20.7</v>
      </c>
      <c r="I50" s="155">
        <f>+TabelaMatriz!$I$10*2</f>
        <v>24</v>
      </c>
      <c r="J50" s="352">
        <f t="shared" si="9"/>
        <v>207.85</v>
      </c>
      <c r="K50" s="203">
        <f t="shared" si="7"/>
        <v>3.26</v>
      </c>
      <c r="L50" s="203">
        <f t="shared" si="10"/>
        <v>41.57</v>
      </c>
      <c r="M50" s="203">
        <f t="shared" si="11"/>
        <v>10.39</v>
      </c>
      <c r="N50" s="203">
        <f t="shared" si="12"/>
        <v>10.39</v>
      </c>
      <c r="O50" s="203">
        <f t="shared" si="13"/>
        <v>8.31</v>
      </c>
      <c r="P50" s="203">
        <v>8.31</v>
      </c>
      <c r="Q50" s="251">
        <f>TabelaMatriz!$I$293</f>
        <v>26.939999999999998</v>
      </c>
      <c r="R50" s="251"/>
      <c r="S50" s="203">
        <v>0</v>
      </c>
      <c r="T50" s="203">
        <v>0</v>
      </c>
      <c r="U50" s="112"/>
      <c r="V50" s="403">
        <f t="shared" si="14"/>
        <v>317.02</v>
      </c>
    </row>
    <row r="51" spans="1:22" ht="14.25">
      <c r="A51" s="274"/>
      <c r="B51" s="448" t="s">
        <v>122</v>
      </c>
      <c r="C51" s="109"/>
      <c r="D51" s="109"/>
      <c r="E51" s="109"/>
      <c r="F51" s="57"/>
      <c r="G51" s="247">
        <f>TabelaMatriz!I174</f>
        <v>24.42</v>
      </c>
      <c r="H51" s="159" t="s">
        <v>34</v>
      </c>
      <c r="I51" s="159" t="s">
        <v>34</v>
      </c>
      <c r="J51" s="352">
        <f t="shared" si="9"/>
        <v>24.42</v>
      </c>
      <c r="K51" s="203">
        <f t="shared" si="7"/>
        <v>0.48</v>
      </c>
      <c r="L51" s="203">
        <f t="shared" si="10"/>
        <v>4.88</v>
      </c>
      <c r="M51" s="203">
        <f t="shared" si="11"/>
        <v>1.22</v>
      </c>
      <c r="N51" s="203">
        <f t="shared" si="12"/>
        <v>1.22</v>
      </c>
      <c r="O51" s="203">
        <f t="shared" si="13"/>
        <v>0.97</v>
      </c>
      <c r="P51" s="203">
        <v>0.97</v>
      </c>
      <c r="Q51" s="395" t="s">
        <v>34</v>
      </c>
      <c r="R51" s="395"/>
      <c r="S51" s="395" t="s">
        <v>34</v>
      </c>
      <c r="T51" s="395" t="s">
        <v>34</v>
      </c>
      <c r="U51" s="159"/>
      <c r="V51" s="403">
        <f t="shared" si="14"/>
        <v>34.159999999999997</v>
      </c>
    </row>
    <row r="52" spans="1:22" ht="19.5" customHeight="1">
      <c r="A52" s="274">
        <v>2360</v>
      </c>
      <c r="B52" s="449" t="s">
        <v>413</v>
      </c>
      <c r="C52" s="109"/>
      <c r="D52" s="109"/>
      <c r="E52" s="109"/>
      <c r="F52" s="57"/>
      <c r="G52" s="247"/>
      <c r="H52" s="157"/>
      <c r="I52" s="157"/>
      <c r="J52" s="352"/>
      <c r="K52" s="203"/>
      <c r="L52" s="203"/>
      <c r="M52" s="203"/>
      <c r="N52" s="203"/>
      <c r="O52" s="203"/>
      <c r="P52" s="203"/>
      <c r="Q52" s="251"/>
      <c r="R52" s="251"/>
      <c r="S52" s="203"/>
      <c r="T52" s="203"/>
      <c r="U52" s="112"/>
      <c r="V52" s="404"/>
    </row>
    <row r="53" spans="1:22" ht="14.25">
      <c r="B53" s="450" t="s">
        <v>25</v>
      </c>
      <c r="C53" s="451"/>
      <c r="D53" s="451"/>
      <c r="E53" s="451" t="s">
        <v>26</v>
      </c>
      <c r="G53" s="144" t="s">
        <v>15</v>
      </c>
      <c r="H53" s="9"/>
      <c r="I53" s="9"/>
      <c r="J53" s="141"/>
      <c r="K53" s="201"/>
      <c r="L53" s="201"/>
      <c r="M53" s="201"/>
      <c r="N53" s="201"/>
      <c r="O53" s="201"/>
      <c r="P53" s="203"/>
      <c r="Q53" s="201"/>
      <c r="R53" s="201"/>
      <c r="S53" s="201"/>
      <c r="T53" s="201"/>
      <c r="V53" s="397"/>
    </row>
    <row r="54" spans="1:22">
      <c r="B54" s="452">
        <f t="shared" ref="B54:B61" si="15">B5</f>
        <v>0.01</v>
      </c>
      <c r="C54" s="277"/>
      <c r="D54" s="277"/>
      <c r="E54" s="277">
        <f t="shared" ref="E54:E61" si="16">E5</f>
        <v>15000</v>
      </c>
      <c r="G54" s="247">
        <f t="shared" ref="G54:G61" si="17">G5</f>
        <v>187.63</v>
      </c>
      <c r="H54" s="155">
        <v>20.7</v>
      </c>
      <c r="I54" s="155">
        <f>+TabelaMatriz!$I$10*2</f>
        <v>24</v>
      </c>
      <c r="J54" s="352">
        <f t="shared" ref="J54:J61" si="18">SUM(G54:I54)</f>
        <v>232.32999999999998</v>
      </c>
      <c r="K54" s="203">
        <f t="shared" ref="K54:K63" si="19">TRUNC(G54*2%,2)</f>
        <v>3.75</v>
      </c>
      <c r="L54" s="203">
        <f t="shared" ref="L54:L59" si="20">TRUNC(J54*20%,2)</f>
        <v>46.46</v>
      </c>
      <c r="M54" s="203">
        <f t="shared" ref="M54:M59" si="21">TRUNC(J54*5%,2)</f>
        <v>11.61</v>
      </c>
      <c r="N54" s="203">
        <f t="shared" ref="N54:N59" si="22">M54</f>
        <v>11.61</v>
      </c>
      <c r="O54" s="203">
        <f t="shared" ref="O54:O59" si="23">TRUNC(J54*4%,2)</f>
        <v>9.2899999999999991</v>
      </c>
      <c r="P54" s="203">
        <v>9.2899999999999991</v>
      </c>
      <c r="Q54" s="203">
        <f>TabelaMatriz!$I$307</f>
        <v>26.939999999999998</v>
      </c>
      <c r="R54" s="203"/>
      <c r="S54" s="203">
        <v>0</v>
      </c>
      <c r="T54" s="203">
        <v>0</v>
      </c>
      <c r="U54" s="112"/>
      <c r="V54" s="403">
        <f t="shared" ref="V54:V61" si="24">SUM(J54:U54)</f>
        <v>351.28000000000003</v>
      </c>
    </row>
    <row r="55" spans="1:22">
      <c r="B55" s="452">
        <f t="shared" si="15"/>
        <v>15000.01</v>
      </c>
      <c r="C55" s="277"/>
      <c r="D55" s="277"/>
      <c r="E55" s="277">
        <f t="shared" si="16"/>
        <v>30000</v>
      </c>
      <c r="G55" s="247">
        <f t="shared" si="17"/>
        <v>310.02</v>
      </c>
      <c r="H55" s="155">
        <v>20.7</v>
      </c>
      <c r="I55" s="155">
        <f>+TabelaMatriz!$I$10*2</f>
        <v>24</v>
      </c>
      <c r="J55" s="352">
        <f t="shared" si="18"/>
        <v>354.71999999999997</v>
      </c>
      <c r="K55" s="203">
        <f t="shared" si="19"/>
        <v>6.2</v>
      </c>
      <c r="L55" s="203">
        <f t="shared" si="20"/>
        <v>70.94</v>
      </c>
      <c r="M55" s="203">
        <f t="shared" si="21"/>
        <v>17.73</v>
      </c>
      <c r="N55" s="203">
        <f t="shared" si="22"/>
        <v>17.73</v>
      </c>
      <c r="O55" s="203">
        <f t="shared" si="23"/>
        <v>14.18</v>
      </c>
      <c r="P55" s="203">
        <v>14.18</v>
      </c>
      <c r="Q55" s="203">
        <f>TabelaMatriz!$I$307</f>
        <v>26.939999999999998</v>
      </c>
      <c r="R55" s="203"/>
      <c r="S55" s="203">
        <v>0</v>
      </c>
      <c r="T55" s="203">
        <v>0</v>
      </c>
      <c r="U55" s="112"/>
      <c r="V55" s="403">
        <f t="shared" si="24"/>
        <v>522.62</v>
      </c>
    </row>
    <row r="56" spans="1:22">
      <c r="B56" s="452">
        <f t="shared" si="15"/>
        <v>30000.01</v>
      </c>
      <c r="C56" s="277"/>
      <c r="D56" s="277"/>
      <c r="E56" s="277">
        <f t="shared" si="16"/>
        <v>45000</v>
      </c>
      <c r="G56" s="247">
        <f t="shared" si="17"/>
        <v>432.45</v>
      </c>
      <c r="H56" s="155">
        <v>20.7</v>
      </c>
      <c r="I56" s="155">
        <f>+TabelaMatriz!$I$10*2</f>
        <v>24</v>
      </c>
      <c r="J56" s="352">
        <f t="shared" si="18"/>
        <v>477.15</v>
      </c>
      <c r="K56" s="203">
        <f t="shared" si="19"/>
        <v>8.64</v>
      </c>
      <c r="L56" s="203">
        <f t="shared" si="20"/>
        <v>95.43</v>
      </c>
      <c r="M56" s="203">
        <f t="shared" si="21"/>
        <v>23.85</v>
      </c>
      <c r="N56" s="203">
        <f t="shared" si="22"/>
        <v>23.85</v>
      </c>
      <c r="O56" s="203">
        <f t="shared" si="23"/>
        <v>19.079999999999998</v>
      </c>
      <c r="P56" s="203">
        <v>19.079999999999998</v>
      </c>
      <c r="Q56" s="203">
        <f>TabelaMatriz!$I$307</f>
        <v>26.939999999999998</v>
      </c>
      <c r="R56" s="203"/>
      <c r="S56" s="203">
        <v>0</v>
      </c>
      <c r="T56" s="203">
        <v>0</v>
      </c>
      <c r="U56" s="112"/>
      <c r="V56" s="403">
        <f t="shared" si="24"/>
        <v>694.02000000000021</v>
      </c>
    </row>
    <row r="57" spans="1:22">
      <c r="B57" s="452">
        <f t="shared" si="15"/>
        <v>45000.01</v>
      </c>
      <c r="C57" s="277"/>
      <c r="D57" s="277"/>
      <c r="E57" s="277">
        <f t="shared" si="16"/>
        <v>60000</v>
      </c>
      <c r="G57" s="247">
        <f t="shared" si="17"/>
        <v>530.35</v>
      </c>
      <c r="H57" s="155">
        <v>20.7</v>
      </c>
      <c r="I57" s="155">
        <f>+TabelaMatriz!$I$10*2</f>
        <v>24</v>
      </c>
      <c r="J57" s="352">
        <f t="shared" si="18"/>
        <v>575.05000000000007</v>
      </c>
      <c r="K57" s="203">
        <f t="shared" si="19"/>
        <v>10.6</v>
      </c>
      <c r="L57" s="203">
        <f t="shared" si="20"/>
        <v>115.01</v>
      </c>
      <c r="M57" s="203">
        <f t="shared" si="21"/>
        <v>28.75</v>
      </c>
      <c r="N57" s="203">
        <f t="shared" si="22"/>
        <v>28.75</v>
      </c>
      <c r="O57" s="203">
        <f t="shared" si="23"/>
        <v>23</v>
      </c>
      <c r="P57" s="203">
        <v>23</v>
      </c>
      <c r="Q57" s="203">
        <f>TabelaMatriz!$I$307</f>
        <v>26.939999999999998</v>
      </c>
      <c r="R57" s="203"/>
      <c r="S57" s="203">
        <v>0</v>
      </c>
      <c r="T57" s="203">
        <v>0</v>
      </c>
      <c r="U57" s="112"/>
      <c r="V57" s="403">
        <f t="shared" si="24"/>
        <v>831.10000000000014</v>
      </c>
    </row>
    <row r="58" spans="1:22">
      <c r="B58" s="452">
        <f t="shared" si="15"/>
        <v>60000.01</v>
      </c>
      <c r="C58" s="277"/>
      <c r="D58" s="277"/>
      <c r="E58" s="277">
        <f t="shared" si="16"/>
        <v>80000</v>
      </c>
      <c r="G58" s="247">
        <f t="shared" si="17"/>
        <v>940</v>
      </c>
      <c r="H58" s="155">
        <v>20.7</v>
      </c>
      <c r="I58" s="155">
        <f>+TabelaMatriz!$I$10*2</f>
        <v>24</v>
      </c>
      <c r="J58" s="352">
        <f t="shared" si="18"/>
        <v>984.7</v>
      </c>
      <c r="K58" s="203">
        <f t="shared" si="19"/>
        <v>18.8</v>
      </c>
      <c r="L58" s="203">
        <f t="shared" si="20"/>
        <v>196.94</v>
      </c>
      <c r="M58" s="203">
        <f t="shared" si="21"/>
        <v>49.23</v>
      </c>
      <c r="N58" s="203">
        <f t="shared" si="22"/>
        <v>49.23</v>
      </c>
      <c r="O58" s="203">
        <f t="shared" si="23"/>
        <v>39.380000000000003</v>
      </c>
      <c r="P58" s="203">
        <v>39.380000000000003</v>
      </c>
      <c r="Q58" s="203">
        <f>TabelaMatriz!$I$307</f>
        <v>26.939999999999998</v>
      </c>
      <c r="R58" s="203"/>
      <c r="S58" s="203">
        <v>0</v>
      </c>
      <c r="T58" s="203">
        <v>0</v>
      </c>
      <c r="U58" s="112"/>
      <c r="V58" s="403">
        <f t="shared" si="24"/>
        <v>1404.6000000000004</v>
      </c>
    </row>
    <row r="59" spans="1:22">
      <c r="B59" s="452">
        <f>B10</f>
        <v>80000.009999999995</v>
      </c>
      <c r="C59" s="277"/>
      <c r="D59" s="277"/>
      <c r="E59" s="277">
        <f>E10</f>
        <v>100000</v>
      </c>
      <c r="G59" s="247">
        <f>G10</f>
        <v>1109.73</v>
      </c>
      <c r="H59" s="155">
        <v>20.7</v>
      </c>
      <c r="I59" s="155">
        <f>+TabelaMatriz!$I$10*2</f>
        <v>24</v>
      </c>
      <c r="J59" s="352">
        <f t="shared" si="18"/>
        <v>1154.43</v>
      </c>
      <c r="K59" s="203">
        <f t="shared" si="19"/>
        <v>22.19</v>
      </c>
      <c r="L59" s="203">
        <f t="shared" si="20"/>
        <v>230.88</v>
      </c>
      <c r="M59" s="203">
        <f t="shared" si="21"/>
        <v>57.72</v>
      </c>
      <c r="N59" s="203">
        <f t="shared" si="22"/>
        <v>57.72</v>
      </c>
      <c r="O59" s="203">
        <f t="shared" si="23"/>
        <v>46.17</v>
      </c>
      <c r="P59" s="203">
        <v>46.17</v>
      </c>
      <c r="Q59" s="203">
        <f>TabelaMatriz!$I$307</f>
        <v>26.939999999999998</v>
      </c>
      <c r="R59" s="203"/>
      <c r="S59" s="203">
        <v>0</v>
      </c>
      <c r="T59" s="203">
        <v>0</v>
      </c>
      <c r="U59" s="112"/>
      <c r="V59" s="403">
        <f t="shared" si="24"/>
        <v>1642.2200000000003</v>
      </c>
    </row>
    <row r="60" spans="1:22">
      <c r="B60" s="452">
        <f t="shared" si="15"/>
        <v>100000.01</v>
      </c>
      <c r="C60" s="277"/>
      <c r="D60" s="277"/>
      <c r="E60" s="277">
        <f t="shared" si="16"/>
        <v>200000</v>
      </c>
      <c r="G60" s="443">
        <f t="shared" si="17"/>
        <v>1501.39</v>
      </c>
      <c r="H60" s="155">
        <v>20.7</v>
      </c>
      <c r="I60" s="155">
        <f>+TabelaMatriz!$I$10*2</f>
        <v>24</v>
      </c>
      <c r="J60" s="352">
        <f t="shared" si="18"/>
        <v>1546.0900000000001</v>
      </c>
      <c r="K60" s="203">
        <f t="shared" si="19"/>
        <v>30.02</v>
      </c>
      <c r="L60" s="203">
        <f>TRUNC(J60*20%,2)</f>
        <v>309.20999999999998</v>
      </c>
      <c r="M60" s="203">
        <f>TRUNC(J60*5%,2)</f>
        <v>77.3</v>
      </c>
      <c r="N60" s="203">
        <f>M60</f>
        <v>77.3</v>
      </c>
      <c r="O60" s="203">
        <f>TRUNC(J60*4%,2)</f>
        <v>61.84</v>
      </c>
      <c r="P60" s="203">
        <v>61.84</v>
      </c>
      <c r="Q60" s="203">
        <f>TabelaMatriz!$I$307</f>
        <v>26.939999999999998</v>
      </c>
      <c r="R60" s="203"/>
      <c r="S60" s="203">
        <v>0</v>
      </c>
      <c r="T60" s="203">
        <v>0</v>
      </c>
      <c r="U60" s="112"/>
      <c r="V60" s="403">
        <f t="shared" si="24"/>
        <v>2190.5400000000004</v>
      </c>
    </row>
    <row r="61" spans="1:22" ht="18" customHeight="1">
      <c r="B61" s="452">
        <f t="shared" si="15"/>
        <v>200000.01</v>
      </c>
      <c r="C61" s="277"/>
      <c r="D61" s="277"/>
      <c r="E61" s="277">
        <f t="shared" si="16"/>
        <v>400000</v>
      </c>
      <c r="G61" s="247">
        <f t="shared" si="17"/>
        <v>1611.02</v>
      </c>
      <c r="H61" s="155">
        <v>20.7</v>
      </c>
      <c r="I61" s="155">
        <f>+TabelaMatriz!$I$10*2</f>
        <v>24</v>
      </c>
      <c r="J61" s="352">
        <f t="shared" si="18"/>
        <v>1655.72</v>
      </c>
      <c r="K61" s="203">
        <f t="shared" si="19"/>
        <v>32.22</v>
      </c>
      <c r="L61" s="203">
        <f>TRUNC(J61*20%,2)</f>
        <v>331.14</v>
      </c>
      <c r="M61" s="203">
        <f>TRUNC(J61*5%,2)</f>
        <v>82.78</v>
      </c>
      <c r="N61" s="203">
        <f>M61</f>
        <v>82.78</v>
      </c>
      <c r="O61" s="203">
        <f>TRUNC(J61*4%,2)</f>
        <v>66.22</v>
      </c>
      <c r="P61" s="203">
        <v>66.22</v>
      </c>
      <c r="Q61" s="203">
        <f>TabelaMatriz!$I$307</f>
        <v>26.939999999999998</v>
      </c>
      <c r="R61" s="203"/>
      <c r="S61" s="203">
        <v>0</v>
      </c>
      <c r="T61" s="203">
        <v>0</v>
      </c>
      <c r="U61" s="112"/>
      <c r="V61" s="403">
        <f t="shared" si="24"/>
        <v>2344.02</v>
      </c>
    </row>
    <row r="62" spans="1:22" ht="18" customHeight="1">
      <c r="A62" s="412" t="s">
        <v>460</v>
      </c>
      <c r="B62" s="453" t="s">
        <v>447</v>
      </c>
      <c r="C62" s="453"/>
      <c r="D62" s="453"/>
      <c r="E62" s="454"/>
      <c r="F62" s="419"/>
      <c r="G62" s="459"/>
      <c r="H62" s="155"/>
      <c r="I62" s="155"/>
      <c r="J62" s="352"/>
      <c r="K62" s="203"/>
      <c r="L62" s="203"/>
      <c r="M62" s="203"/>
      <c r="N62" s="203"/>
      <c r="O62" s="203"/>
      <c r="P62" s="203"/>
      <c r="Q62" s="203"/>
      <c r="R62" s="203"/>
      <c r="S62" s="203"/>
      <c r="T62" s="203"/>
      <c r="U62" s="112"/>
      <c r="V62" s="403"/>
    </row>
    <row r="63" spans="1:22" ht="15" customHeight="1">
      <c r="A63" s="412">
        <v>7128</v>
      </c>
      <c r="B63" s="764" t="s">
        <v>448</v>
      </c>
      <c r="C63" s="683"/>
      <c r="D63" s="683"/>
      <c r="E63" s="277"/>
      <c r="F63" s="413"/>
      <c r="G63" s="247">
        <v>166.22</v>
      </c>
      <c r="H63" s="155">
        <v>20.7</v>
      </c>
      <c r="I63" s="155">
        <f>+TabelaMatriz!$I$10*2</f>
        <v>24</v>
      </c>
      <c r="J63" s="352">
        <f>SUM(G63:I63)</f>
        <v>210.92</v>
      </c>
      <c r="K63" s="203">
        <f t="shared" si="19"/>
        <v>3.32</v>
      </c>
      <c r="L63" s="203">
        <f>TRUNC(J63*20%,2)</f>
        <v>42.18</v>
      </c>
      <c r="M63" s="203">
        <f>TRUNC(J63*5%,2)</f>
        <v>10.54</v>
      </c>
      <c r="N63" s="203">
        <f>M63</f>
        <v>10.54</v>
      </c>
      <c r="O63" s="203">
        <f>TRUNC(J63*4%,2)</f>
        <v>8.43</v>
      </c>
      <c r="P63" s="203">
        <v>8.43</v>
      </c>
      <c r="Q63" s="203">
        <f>TabelaMatriz!$I$307</f>
        <v>26.939999999999998</v>
      </c>
      <c r="R63" s="203"/>
      <c r="S63" s="203">
        <v>0</v>
      </c>
      <c r="T63" s="203">
        <v>0</v>
      </c>
      <c r="U63" s="112"/>
      <c r="V63" s="403">
        <f>SUM(J63:U63)</f>
        <v>321.3</v>
      </c>
    </row>
    <row r="64" spans="1:22" ht="15" customHeight="1">
      <c r="B64" s="764" t="s">
        <v>453</v>
      </c>
      <c r="C64" s="683"/>
      <c r="D64" s="683"/>
      <c r="E64" s="277"/>
      <c r="F64" s="413"/>
      <c r="G64" s="247">
        <v>30.46</v>
      </c>
      <c r="H64" s="155">
        <v>20.7</v>
      </c>
      <c r="I64" s="155">
        <f>+TabelaMatriz!$I$10*2</f>
        <v>24</v>
      </c>
      <c r="J64" s="352">
        <f>SUM(G64:I64)</f>
        <v>75.16</v>
      </c>
      <c r="K64" s="203">
        <f>TRUNC(G64*2%,2)</f>
        <v>0.6</v>
      </c>
      <c r="L64" s="203">
        <f>TRUNC(J64*20%,2)</f>
        <v>15.03</v>
      </c>
      <c r="M64" s="203">
        <f>TRUNC(J64*5%,2)</f>
        <v>3.75</v>
      </c>
      <c r="N64" s="203">
        <f>M64</f>
        <v>3.75</v>
      </c>
      <c r="O64" s="203">
        <f>TRUNC(J64*4%,2)</f>
        <v>3</v>
      </c>
      <c r="P64" s="203">
        <v>3</v>
      </c>
      <c r="Q64" s="203">
        <f>TabelaMatriz!$I$307</f>
        <v>26.939999999999998</v>
      </c>
      <c r="R64" s="203"/>
      <c r="S64" s="203">
        <v>0</v>
      </c>
      <c r="T64" s="203">
        <v>0</v>
      </c>
      <c r="U64" s="112"/>
      <c r="V64" s="403">
        <f>SUM(J64:U64)</f>
        <v>131.22999999999999</v>
      </c>
    </row>
    <row r="65" spans="1:32" ht="15" customHeight="1">
      <c r="B65" s="764" t="s">
        <v>446</v>
      </c>
      <c r="C65" s="683"/>
      <c r="D65" s="683"/>
      <c r="E65" s="277"/>
      <c r="F65" s="413"/>
      <c r="G65" s="247">
        <v>30.46</v>
      </c>
      <c r="H65" s="159" t="s">
        <v>34</v>
      </c>
      <c r="I65" s="159" t="s">
        <v>34</v>
      </c>
      <c r="J65" s="352">
        <f>SUM(G65:I65)</f>
        <v>30.46</v>
      </c>
      <c r="K65" s="203">
        <f>TRUNC(G65*2%,2)</f>
        <v>0.6</v>
      </c>
      <c r="L65" s="203">
        <f>TRUNC(J65*20%,2)</f>
        <v>6.09</v>
      </c>
      <c r="M65" s="203">
        <f>TRUNC(J65*5%,2)</f>
        <v>1.52</v>
      </c>
      <c r="N65" s="203">
        <f>M65</f>
        <v>1.52</v>
      </c>
      <c r="O65" s="203">
        <f>TRUNC(J65*4%,2)</f>
        <v>1.21</v>
      </c>
      <c r="P65" s="203">
        <v>1.21</v>
      </c>
      <c r="Q65" s="395" t="s">
        <v>34</v>
      </c>
      <c r="R65" s="203"/>
      <c r="S65" s="395" t="s">
        <v>34</v>
      </c>
      <c r="T65" s="395" t="s">
        <v>34</v>
      </c>
      <c r="U65" s="112"/>
      <c r="V65" s="403">
        <f>SUM(J65:U65)</f>
        <v>42.610000000000014</v>
      </c>
    </row>
    <row r="66" spans="1:32" ht="15" customHeight="1">
      <c r="B66" s="764" t="s">
        <v>449</v>
      </c>
      <c r="C66" s="683"/>
      <c r="D66" s="683"/>
      <c r="E66" s="683"/>
      <c r="F66" s="413"/>
      <c r="G66" s="247">
        <f>TabelaMatriz!I180</f>
        <v>99.53</v>
      </c>
      <c r="H66" s="155">
        <v>20.7</v>
      </c>
      <c r="I66" s="155">
        <f>+TabelaMatriz!$I$10*2</f>
        <v>24</v>
      </c>
      <c r="J66" s="352">
        <f>SUM(G66:I66)</f>
        <v>144.23000000000002</v>
      </c>
      <c r="K66" s="203">
        <f>TRUNC(G66*2%,2)</f>
        <v>1.99</v>
      </c>
      <c r="L66" s="203">
        <f>TRUNC(J66*20%,2)</f>
        <v>28.84</v>
      </c>
      <c r="M66" s="203">
        <f>TRUNC(J66*5%,2)</f>
        <v>7.21</v>
      </c>
      <c r="N66" s="203">
        <f>M66</f>
        <v>7.21</v>
      </c>
      <c r="O66" s="203">
        <f>TRUNC(J66*4%,2)</f>
        <v>5.76</v>
      </c>
      <c r="P66" s="203">
        <v>5.76</v>
      </c>
      <c r="Q66" s="203">
        <f>TabelaMatriz!$I$307</f>
        <v>26.939999999999998</v>
      </c>
      <c r="R66" s="203"/>
      <c r="S66" s="203">
        <v>0</v>
      </c>
      <c r="T66" s="203">
        <v>0</v>
      </c>
      <c r="U66" s="112"/>
      <c r="V66" s="403">
        <f>SUM(J66:U66)</f>
        <v>227.94000000000003</v>
      </c>
    </row>
    <row r="67" spans="1:32" ht="23.25" customHeight="1" thickBot="1">
      <c r="B67" s="776" t="s">
        <v>454</v>
      </c>
      <c r="C67" s="777"/>
      <c r="D67" s="777"/>
      <c r="E67" s="777"/>
      <c r="F67" s="414"/>
      <c r="G67" s="460">
        <f>TabelaMatriz!I181</f>
        <v>11.16</v>
      </c>
      <c r="H67" s="405" t="s">
        <v>34</v>
      </c>
      <c r="I67" s="406" t="s">
        <v>34</v>
      </c>
      <c r="J67" s="479">
        <f>SUM(G67:I67)</f>
        <v>11.16</v>
      </c>
      <c r="K67" s="433">
        <f>TRUNC(G67*2%,2)</f>
        <v>0.22</v>
      </c>
      <c r="L67" s="433">
        <f>TRUNC(J67*20%,2)</f>
        <v>2.23</v>
      </c>
      <c r="M67" s="433">
        <f>TRUNC(J67*5%,2)</f>
        <v>0.55000000000000004</v>
      </c>
      <c r="N67" s="433">
        <f>M67</f>
        <v>0.55000000000000004</v>
      </c>
      <c r="O67" s="433">
        <f>TRUNC(J67*4%,2)</f>
        <v>0.44</v>
      </c>
      <c r="P67" s="433">
        <v>0.44</v>
      </c>
      <c r="Q67" s="432" t="s">
        <v>34</v>
      </c>
      <c r="R67" s="433"/>
      <c r="S67" s="432" t="s">
        <v>34</v>
      </c>
      <c r="T67" s="432" t="s">
        <v>34</v>
      </c>
      <c r="U67" s="135"/>
      <c r="V67" s="407">
        <f>SUM(J67:U67)</f>
        <v>15.590000000000002</v>
      </c>
    </row>
    <row r="68" spans="1:32" ht="18" customHeight="1">
      <c r="B68" s="784"/>
      <c r="C68" s="784"/>
      <c r="D68" s="784"/>
      <c r="E68" s="784"/>
      <c r="F68" s="784"/>
      <c r="G68" s="391"/>
      <c r="H68" s="9"/>
      <c r="I68" s="9"/>
      <c r="J68" s="352"/>
      <c r="K68" s="394"/>
      <c r="L68" s="394"/>
      <c r="M68" s="394"/>
      <c r="N68" s="203"/>
      <c r="O68" s="394"/>
      <c r="P68" s="394"/>
      <c r="Q68" s="395"/>
      <c r="R68" s="395"/>
      <c r="S68" s="395"/>
      <c r="T68" s="395"/>
      <c r="U68" s="395"/>
      <c r="V68" s="396"/>
      <c r="W68"/>
      <c r="X68"/>
      <c r="Y68"/>
      <c r="Z68"/>
      <c r="AA68"/>
      <c r="AB68"/>
      <c r="AC68"/>
      <c r="AD68"/>
      <c r="AE68"/>
      <c r="AF68"/>
    </row>
    <row r="69" spans="1:32" ht="15.75" customHeight="1">
      <c r="B69" s="758" t="s">
        <v>297</v>
      </c>
      <c r="C69" s="758"/>
      <c r="D69" s="758"/>
      <c r="E69" s="758"/>
      <c r="F69" s="758"/>
      <c r="G69" s="758"/>
      <c r="H69" s="756" t="s">
        <v>370</v>
      </c>
      <c r="I69" s="757"/>
      <c r="J69" s="145" t="s">
        <v>4</v>
      </c>
      <c r="K69" s="222">
        <v>0.02</v>
      </c>
      <c r="L69" s="222">
        <v>0.2</v>
      </c>
      <c r="M69" s="222">
        <v>0.05</v>
      </c>
      <c r="N69" s="222">
        <v>0.05</v>
      </c>
      <c r="O69" s="222">
        <v>0.04</v>
      </c>
      <c r="P69" s="222" t="s">
        <v>488</v>
      </c>
      <c r="Q69" s="223"/>
      <c r="R69" s="223"/>
      <c r="S69" s="223"/>
      <c r="T69" s="223"/>
      <c r="U69" s="223"/>
      <c r="V69" s="223" t="s">
        <v>3</v>
      </c>
    </row>
    <row r="70" spans="1:32" ht="13.5" thickBot="1">
      <c r="A70" s="1">
        <v>2031</v>
      </c>
      <c r="B70" s="778" t="s">
        <v>298</v>
      </c>
      <c r="C70" s="779"/>
      <c r="D70" s="779"/>
      <c r="E70" s="779"/>
      <c r="F70" s="779"/>
      <c r="G70" s="780"/>
      <c r="H70" s="766">
        <v>43.03</v>
      </c>
      <c r="I70" s="767"/>
      <c r="J70" s="480">
        <f>SUM(G70:I70)</f>
        <v>43.03</v>
      </c>
      <c r="K70" s="221" t="s">
        <v>34</v>
      </c>
      <c r="L70" s="220">
        <f>TRUNC(J70*20%,2)</f>
        <v>8.6</v>
      </c>
      <c r="M70" s="220">
        <f>TRUNC(J70*5%,2)</f>
        <v>2.15</v>
      </c>
      <c r="N70" s="220">
        <f>M70</f>
        <v>2.15</v>
      </c>
      <c r="O70" s="220">
        <f>TRUNC(J70*4%,2)</f>
        <v>1.72</v>
      </c>
      <c r="P70" s="433">
        <v>1.72</v>
      </c>
      <c r="Q70" s="221"/>
      <c r="R70" s="221"/>
      <c r="S70" s="221"/>
      <c r="T70" s="221"/>
      <c r="U70" s="370"/>
      <c r="V70" s="325">
        <f>SUM(J70:U70)</f>
        <v>59.37</v>
      </c>
    </row>
    <row r="71" spans="1:32" ht="13.5" thickBot="1">
      <c r="A71" s="1">
        <v>2037</v>
      </c>
      <c r="B71" s="778" t="s">
        <v>371</v>
      </c>
      <c r="C71" s="779"/>
      <c r="D71" s="779"/>
      <c r="E71" s="779"/>
      <c r="F71" s="779"/>
      <c r="G71" s="780"/>
      <c r="H71" s="762">
        <f>TabelaMatriz!I7</f>
        <v>19.82</v>
      </c>
      <c r="I71" s="763"/>
      <c r="J71" s="481">
        <f>H71</f>
        <v>19.82</v>
      </c>
      <c r="K71" s="221" t="s">
        <v>34</v>
      </c>
      <c r="L71" s="220">
        <f>TRUNC(J71*20%,2)</f>
        <v>3.96</v>
      </c>
      <c r="M71" s="220">
        <f>TRUNC(J71*5%,2)</f>
        <v>0.99</v>
      </c>
      <c r="N71" s="220">
        <f>M71</f>
        <v>0.99</v>
      </c>
      <c r="O71" s="220">
        <f>TRUNC(J71*4%,2)</f>
        <v>0.79</v>
      </c>
      <c r="P71" s="433">
        <v>0.79</v>
      </c>
      <c r="Q71" s="331"/>
      <c r="R71" s="434" t="s">
        <v>491</v>
      </c>
      <c r="S71" s="331"/>
      <c r="T71" s="331"/>
      <c r="U71" s="350"/>
      <c r="V71" s="325">
        <f>SUM(J71:U71)</f>
        <v>27.339999999999996</v>
      </c>
    </row>
    <row r="73" spans="1:32">
      <c r="B73" s="770" t="s">
        <v>474</v>
      </c>
      <c r="C73" s="771"/>
      <c r="D73" s="771"/>
      <c r="E73" s="771"/>
      <c r="F73" s="771"/>
      <c r="G73" s="771"/>
      <c r="H73" s="771"/>
      <c r="I73" s="771"/>
      <c r="J73" s="771"/>
      <c r="K73" s="771"/>
      <c r="L73" s="771"/>
      <c r="M73" s="771"/>
      <c r="N73" s="771"/>
      <c r="O73" s="771"/>
      <c r="P73" s="771"/>
      <c r="Q73" s="771"/>
      <c r="R73" s="771"/>
      <c r="S73" s="771"/>
      <c r="T73" s="771"/>
      <c r="U73" s="771"/>
      <c r="V73" s="772"/>
    </row>
    <row r="74" spans="1:32">
      <c r="D74" s="4"/>
    </row>
    <row r="75" spans="1:32">
      <c r="B75" s="4"/>
      <c r="D75" s="226" t="s">
        <v>455</v>
      </c>
    </row>
    <row r="76" spans="1:32" ht="6.75" customHeight="1">
      <c r="B76" s="4"/>
      <c r="D76" s="4"/>
    </row>
    <row r="77" spans="1:32" ht="18.75" customHeight="1">
      <c r="B77" s="773" t="s">
        <v>416</v>
      </c>
      <c r="C77" s="774"/>
      <c r="D77" s="774"/>
      <c r="E77" s="774"/>
      <c r="F77" s="774"/>
      <c r="G77" s="774"/>
      <c r="H77" s="774"/>
      <c r="I77" s="774"/>
      <c r="J77" s="774"/>
      <c r="K77" s="774"/>
      <c r="L77" s="774"/>
      <c r="M77" s="774"/>
      <c r="N77" s="774"/>
      <c r="O77" s="774"/>
      <c r="P77" s="774"/>
      <c r="Q77" s="774"/>
      <c r="R77" s="774"/>
      <c r="S77" s="774"/>
      <c r="T77" s="774"/>
      <c r="U77" s="774"/>
      <c r="V77" s="775"/>
    </row>
    <row r="78" spans="1:32" ht="18.75" customHeight="1">
      <c r="B78" s="759" t="s">
        <v>414</v>
      </c>
      <c r="C78" s="760"/>
      <c r="D78" s="760"/>
      <c r="E78" s="760"/>
      <c r="F78" s="760"/>
      <c r="G78" s="760"/>
      <c r="H78" s="760"/>
      <c r="I78" s="760"/>
      <c r="J78" s="760"/>
      <c r="K78" s="760"/>
      <c r="L78" s="760"/>
      <c r="M78" s="760"/>
      <c r="N78" s="760"/>
      <c r="O78" s="760"/>
      <c r="P78" s="760"/>
      <c r="Q78" s="760"/>
      <c r="R78" s="760"/>
      <c r="S78" s="760"/>
      <c r="T78" s="760"/>
      <c r="U78" s="760"/>
      <c r="V78" s="761"/>
    </row>
    <row r="79" spans="1:32" ht="24.75" customHeight="1">
      <c r="B79" s="759" t="s">
        <v>231</v>
      </c>
      <c r="C79" s="760"/>
      <c r="D79" s="760"/>
      <c r="E79" s="760"/>
      <c r="F79" s="760"/>
      <c r="G79" s="760"/>
      <c r="H79" s="760"/>
      <c r="I79" s="760"/>
      <c r="J79" s="760"/>
      <c r="K79" s="760"/>
      <c r="L79" s="760"/>
      <c r="M79" s="760"/>
      <c r="N79" s="760"/>
      <c r="O79" s="760"/>
      <c r="P79" s="760"/>
      <c r="Q79" s="760"/>
      <c r="R79" s="760"/>
      <c r="S79" s="760"/>
      <c r="T79" s="760"/>
      <c r="U79" s="760"/>
      <c r="V79" s="761"/>
    </row>
    <row r="80" spans="1:32" ht="34.5" customHeight="1">
      <c r="B80" s="753" t="s">
        <v>230</v>
      </c>
      <c r="C80" s="754"/>
      <c r="D80" s="754"/>
      <c r="E80" s="754"/>
      <c r="F80" s="754"/>
      <c r="G80" s="754"/>
      <c r="H80" s="754"/>
      <c r="I80" s="754"/>
      <c r="J80" s="754"/>
      <c r="K80" s="754"/>
      <c r="L80" s="754"/>
      <c r="M80" s="754"/>
      <c r="N80" s="754"/>
      <c r="O80" s="754"/>
      <c r="P80" s="754"/>
      <c r="Q80" s="754"/>
      <c r="R80" s="754"/>
      <c r="S80" s="754"/>
      <c r="T80" s="754"/>
      <c r="U80" s="754"/>
      <c r="V80" s="755"/>
    </row>
    <row r="81" spans="2:22" ht="4.5" customHeight="1">
      <c r="B81" s="26"/>
      <c r="C81" s="26"/>
      <c r="D81" s="26"/>
      <c r="E81" s="26"/>
      <c r="F81" s="26"/>
      <c r="G81" s="461"/>
      <c r="H81" s="26"/>
      <c r="I81" s="26"/>
      <c r="J81" s="482"/>
      <c r="K81" s="26"/>
      <c r="L81" s="26"/>
      <c r="M81" s="26"/>
      <c r="N81" s="26"/>
      <c r="O81" s="26"/>
      <c r="P81" s="26"/>
      <c r="Q81" s="26"/>
      <c r="R81" s="26"/>
      <c r="S81" s="26"/>
      <c r="T81" s="26"/>
      <c r="U81" s="26"/>
      <c r="V81" s="161"/>
    </row>
    <row r="82" spans="2:22" ht="14.25">
      <c r="B82" s="26" t="s">
        <v>35</v>
      </c>
      <c r="C82"/>
      <c r="D82"/>
      <c r="E82"/>
      <c r="F82"/>
      <c r="G82" s="462"/>
      <c r="H82" s="25"/>
      <c r="I82" s="25"/>
      <c r="J82" s="482"/>
      <c r="K82"/>
      <c r="L82"/>
      <c r="M82"/>
      <c r="N82"/>
      <c r="O82"/>
      <c r="P82"/>
      <c r="Q82"/>
      <c r="R82"/>
      <c r="S82"/>
      <c r="T82"/>
      <c r="U82"/>
      <c r="V82" s="2"/>
    </row>
  </sheetData>
  <mergeCells count="50">
    <mergeCell ref="B64:D64"/>
    <mergeCell ref="B71:G71"/>
    <mergeCell ref="N24:N25"/>
    <mergeCell ref="V24:V25"/>
    <mergeCell ref="J24:J25"/>
    <mergeCell ref="Q24:Q25"/>
    <mergeCell ref="B70:G70"/>
    <mergeCell ref="T24:T25"/>
    <mergeCell ref="S24:S25"/>
    <mergeCell ref="H24:H25"/>
    <mergeCell ref="B65:D65"/>
    <mergeCell ref="B66:E66"/>
    <mergeCell ref="B68:F68"/>
    <mergeCell ref="B17:I17"/>
    <mergeCell ref="B80:V80"/>
    <mergeCell ref="H69:I69"/>
    <mergeCell ref="B69:G69"/>
    <mergeCell ref="K24:K25"/>
    <mergeCell ref="B79:V79"/>
    <mergeCell ref="H71:I71"/>
    <mergeCell ref="B63:D63"/>
    <mergeCell ref="B78:V78"/>
    <mergeCell ref="B25:F25"/>
    <mergeCell ref="H70:I70"/>
    <mergeCell ref="G24:G25"/>
    <mergeCell ref="B24:F24"/>
    <mergeCell ref="B73:V73"/>
    <mergeCell ref="B77:V77"/>
    <mergeCell ref="B67:E67"/>
    <mergeCell ref="B19:D19"/>
    <mergeCell ref="O24:O25"/>
    <mergeCell ref="M24:M25"/>
    <mergeCell ref="L24:L25"/>
    <mergeCell ref="I24:I25"/>
    <mergeCell ref="B20:F20"/>
    <mergeCell ref="E19:F19"/>
    <mergeCell ref="B23:F23"/>
    <mergeCell ref="B21:F21"/>
    <mergeCell ref="J1:V1"/>
    <mergeCell ref="Q2:Q3"/>
    <mergeCell ref="P2:P3"/>
    <mergeCell ref="B1:I1"/>
    <mergeCell ref="O15:Q15"/>
    <mergeCell ref="B2:F3"/>
    <mergeCell ref="V2:V3"/>
    <mergeCell ref="J2:J3"/>
    <mergeCell ref="B14:F14"/>
    <mergeCell ref="R2:R3"/>
    <mergeCell ref="U2:U3"/>
    <mergeCell ref="G2:G3"/>
  </mergeCells>
  <phoneticPr fontId="15" type="noConversion"/>
  <pageMargins left="0.19685039370078741" right="0.19685039370078741" top="0.19685039370078741" bottom="0.19685039370078741" header="0" footer="0.59055118110236227"/>
  <pageSetup paperSize="9" scale="77" orientation="landscape" r:id="rId1"/>
  <headerFooter alignWithMargins="0"/>
</worksheet>
</file>

<file path=xl/worksheets/sheet5.xml><?xml version="1.0" encoding="utf-8"?>
<worksheet xmlns="http://schemas.openxmlformats.org/spreadsheetml/2006/main" xmlns:r="http://schemas.openxmlformats.org/officeDocument/2006/relationships">
  <sheetPr>
    <tabColor indexed="34"/>
  </sheetPr>
  <dimension ref="B1:U56"/>
  <sheetViews>
    <sheetView showGridLines="0" topLeftCell="C14" zoomScale="80" zoomScaleNormal="80" workbookViewId="0">
      <selection activeCell="N62" sqref="N62"/>
    </sheetView>
  </sheetViews>
  <sheetFormatPr defaultRowHeight="12.75"/>
  <cols>
    <col min="1" max="1" width="5.7109375" style="1" customWidth="1"/>
    <col min="2" max="2" width="12" style="1" customWidth="1"/>
    <col min="3" max="4" width="11" style="1" customWidth="1"/>
    <col min="5" max="5" width="6.85546875" style="1" customWidth="1"/>
    <col min="6" max="6" width="10.5703125" style="1" bestFit="1" customWidth="1"/>
    <col min="7" max="7" width="6.7109375" style="1" customWidth="1"/>
    <col min="8" max="8" width="7.28515625" style="1" customWidth="1"/>
    <col min="9" max="9" width="10" style="160" customWidth="1"/>
    <col min="10" max="10" width="9.42578125" style="1" bestFit="1" customWidth="1"/>
    <col min="11" max="11" width="8.7109375" style="1" customWidth="1"/>
    <col min="12" max="12" width="9.5703125" style="1" customWidth="1"/>
    <col min="13" max="13" width="8" style="1" customWidth="1"/>
    <col min="14" max="15" width="8.7109375" style="1" customWidth="1"/>
    <col min="16" max="16" width="7.5703125" style="1" customWidth="1"/>
    <col min="17" max="17" width="6.140625" style="1" customWidth="1"/>
    <col min="18" max="18" width="7" style="1" customWidth="1"/>
    <col min="19" max="19" width="6.5703125" style="1" customWidth="1"/>
    <col min="20" max="20" width="7.42578125" style="1" customWidth="1"/>
    <col min="21" max="21" width="12.140625" style="160" customWidth="1"/>
    <col min="22" max="16384" width="9.140625" style="1"/>
  </cols>
  <sheetData>
    <row r="1" spans="2:21" s="357" customFormat="1" ht="20.25" customHeight="1" thickBot="1">
      <c r="B1" s="797" t="str">
        <f>TabelaMatriz!B1</f>
        <v>PORTARIA n.º 3210/2017</v>
      </c>
      <c r="C1" s="798"/>
      <c r="D1" s="798"/>
      <c r="E1" s="799"/>
      <c r="F1" s="800" t="s">
        <v>475</v>
      </c>
      <c r="G1" s="801"/>
      <c r="H1" s="801"/>
      <c r="I1" s="801"/>
      <c r="J1" s="801"/>
      <c r="K1" s="801"/>
      <c r="L1" s="801"/>
      <c r="M1" s="801"/>
      <c r="N1" s="801"/>
      <c r="O1" s="801"/>
      <c r="P1" s="801"/>
      <c r="Q1" s="801"/>
      <c r="R1" s="801"/>
      <c r="S1" s="801"/>
      <c r="T1" s="801"/>
      <c r="U1" s="802"/>
    </row>
    <row r="2" spans="2:21" s="201" customFormat="1" ht="18.75" customHeight="1">
      <c r="B2" s="803" t="s">
        <v>405</v>
      </c>
      <c r="C2" s="804"/>
      <c r="D2" s="804"/>
      <c r="E2" s="805"/>
      <c r="F2" s="806" t="s">
        <v>4</v>
      </c>
      <c r="G2" s="372" t="s">
        <v>254</v>
      </c>
      <c r="H2" s="373" t="s">
        <v>255</v>
      </c>
      <c r="I2" s="807" t="s">
        <v>258</v>
      </c>
      <c r="J2" s="316">
        <v>0.02</v>
      </c>
      <c r="K2" s="316">
        <v>0.2</v>
      </c>
      <c r="L2" s="316">
        <v>0.05</v>
      </c>
      <c r="M2" s="316">
        <v>0.05</v>
      </c>
      <c r="N2" s="316">
        <v>0.04</v>
      </c>
      <c r="O2" s="724" t="s">
        <v>492</v>
      </c>
      <c r="P2" s="787" t="s">
        <v>426</v>
      </c>
      <c r="Q2" s="788"/>
      <c r="R2" s="288" t="s">
        <v>347</v>
      </c>
      <c r="S2" s="288" t="s">
        <v>359</v>
      </c>
      <c r="T2" s="792" t="s">
        <v>412</v>
      </c>
      <c r="U2" s="808" t="s">
        <v>481</v>
      </c>
    </row>
    <row r="3" spans="2:21" s="201" customFormat="1" ht="15.75" customHeight="1">
      <c r="B3" s="364" t="s">
        <v>25</v>
      </c>
      <c r="C3" s="358" t="s">
        <v>26</v>
      </c>
      <c r="D3" s="359"/>
      <c r="E3" s="360"/>
      <c r="F3" s="743"/>
      <c r="G3" s="153" t="s">
        <v>234</v>
      </c>
      <c r="H3" s="153" t="s">
        <v>235</v>
      </c>
      <c r="I3" s="739"/>
      <c r="J3" s="312" t="s">
        <v>357</v>
      </c>
      <c r="K3" s="223" t="s">
        <v>361</v>
      </c>
      <c r="L3" s="312" t="s">
        <v>356</v>
      </c>
      <c r="M3" s="312" t="s">
        <v>352</v>
      </c>
      <c r="N3" s="312" t="s">
        <v>355</v>
      </c>
      <c r="O3" s="640"/>
      <c r="P3" s="283" t="s">
        <v>37</v>
      </c>
      <c r="Q3" s="283" t="s">
        <v>408</v>
      </c>
      <c r="R3" s="283" t="s">
        <v>358</v>
      </c>
      <c r="S3" s="283" t="s">
        <v>360</v>
      </c>
      <c r="T3" s="625"/>
      <c r="U3" s="738"/>
    </row>
    <row r="4" spans="2:21" s="201" customFormat="1" ht="12">
      <c r="B4" s="351">
        <f>TabelaMatriz!B129</f>
        <v>0.01</v>
      </c>
      <c r="C4" s="61">
        <f>TabelaMatriz!H129</f>
        <v>15000</v>
      </c>
      <c r="D4" s="308" t="s">
        <v>406</v>
      </c>
      <c r="F4" s="247">
        <f>TabelaMatriz!$I$129</f>
        <v>187.63</v>
      </c>
      <c r="G4" s="149">
        <f>+TabelaMatriz!$I$9</f>
        <v>10.35</v>
      </c>
      <c r="H4" s="149">
        <f>+TabelaMatriz!$I$10*4</f>
        <v>48</v>
      </c>
      <c r="I4" s="352">
        <f>SUM(F4:H4)</f>
        <v>245.98</v>
      </c>
      <c r="J4" s="203">
        <f>TRUNC(F4*2%,2)</f>
        <v>3.75</v>
      </c>
      <c r="K4" s="203">
        <f>TRUNC(I4*20%,2)</f>
        <v>49.19</v>
      </c>
      <c r="L4" s="203">
        <f>TRUNC(I4*5%,2)</f>
        <v>12.29</v>
      </c>
      <c r="M4" s="203">
        <f>L4</f>
        <v>12.29</v>
      </c>
      <c r="N4" s="203">
        <f>TRUNC(I4*4%,2)</f>
        <v>9.83</v>
      </c>
      <c r="O4" s="203">
        <v>9.83</v>
      </c>
      <c r="P4" s="203">
        <f>TabelaMatriz!$I$307</f>
        <v>26.939999999999998</v>
      </c>
      <c r="Q4" s="203">
        <v>0</v>
      </c>
      <c r="R4" s="203">
        <v>0</v>
      </c>
      <c r="S4" s="203">
        <v>0</v>
      </c>
      <c r="T4" s="203">
        <f>TabelaMatriz!$I$303</f>
        <v>21.36</v>
      </c>
      <c r="U4" s="254">
        <f>SUM(I4:T4)</f>
        <v>391.46</v>
      </c>
    </row>
    <row r="5" spans="2:21" s="201" customFormat="1" ht="12">
      <c r="B5" s="351"/>
      <c r="C5" s="61"/>
      <c r="D5" s="308" t="s">
        <v>407</v>
      </c>
      <c r="F5" s="247">
        <f>F4</f>
        <v>187.63</v>
      </c>
      <c r="G5" s="203"/>
      <c r="H5" s="203"/>
      <c r="I5" s="352">
        <f>SUM(F5:H5)</f>
        <v>187.63</v>
      </c>
      <c r="J5" s="203">
        <f>TRUNC(F5*2%,2)</f>
        <v>3.75</v>
      </c>
      <c r="K5" s="203">
        <f>TRUNC(I5*20%,2)</f>
        <v>37.520000000000003</v>
      </c>
      <c r="L5" s="203">
        <f>TRUNC(I5*5%,2)</f>
        <v>9.3800000000000008</v>
      </c>
      <c r="M5" s="203">
        <f>L5</f>
        <v>9.3800000000000008</v>
      </c>
      <c r="N5" s="203">
        <f>TRUNC(I5*4%,2)</f>
        <v>7.5</v>
      </c>
      <c r="O5" s="203">
        <v>7.5</v>
      </c>
      <c r="P5" s="203">
        <f>TabelaMatriz!$I$307</f>
        <v>26.939999999999998</v>
      </c>
      <c r="Q5" s="203">
        <v>0</v>
      </c>
      <c r="R5" s="203">
        <v>0</v>
      </c>
      <c r="S5" s="203">
        <v>0</v>
      </c>
      <c r="T5" s="203"/>
      <c r="U5" s="254">
        <f>SUM(I5:T5)</f>
        <v>289.59999999999997</v>
      </c>
    </row>
    <row r="6" spans="2:21" s="201" customFormat="1" ht="12">
      <c r="B6" s="366"/>
      <c r="C6" s="367"/>
      <c r="D6" s="368" t="s">
        <v>3</v>
      </c>
      <c r="E6" s="369"/>
      <c r="F6" s="354">
        <f>F4+F5</f>
        <v>375.26</v>
      </c>
      <c r="G6" s="354">
        <f t="shared" ref="G6:O6" si="0">G4+G5</f>
        <v>10.35</v>
      </c>
      <c r="H6" s="354">
        <f t="shared" si="0"/>
        <v>48</v>
      </c>
      <c r="I6" s="354">
        <f t="shared" si="0"/>
        <v>433.61</v>
      </c>
      <c r="J6" s="354">
        <f t="shared" si="0"/>
        <v>7.5</v>
      </c>
      <c r="K6" s="354">
        <f t="shared" si="0"/>
        <v>86.710000000000008</v>
      </c>
      <c r="L6" s="354">
        <f t="shared" si="0"/>
        <v>21.67</v>
      </c>
      <c r="M6" s="354">
        <f t="shared" si="0"/>
        <v>21.67</v>
      </c>
      <c r="N6" s="354">
        <f t="shared" si="0"/>
        <v>17.329999999999998</v>
      </c>
      <c r="O6" s="354">
        <f t="shared" si="0"/>
        <v>17.329999999999998</v>
      </c>
      <c r="P6" s="354">
        <f>P4+P5</f>
        <v>53.879999999999995</v>
      </c>
      <c r="Q6" s="354">
        <f>Q4+Q5</f>
        <v>0</v>
      </c>
      <c r="R6" s="354">
        <v>0</v>
      </c>
      <c r="S6" s="355">
        <v>0</v>
      </c>
      <c r="T6" s="355">
        <f>T4+T5</f>
        <v>21.36</v>
      </c>
      <c r="U6" s="374">
        <f>U4+U5</f>
        <v>681.06</v>
      </c>
    </row>
    <row r="7" spans="2:21" s="201" customFormat="1" ht="12">
      <c r="B7" s="351">
        <f>TabelaMatriz!B130</f>
        <v>15000.01</v>
      </c>
      <c r="C7" s="61">
        <f>TabelaMatriz!H130</f>
        <v>30000</v>
      </c>
      <c r="D7" s="308" t="s">
        <v>406</v>
      </c>
      <c r="F7" s="247">
        <f>TabelaMatriz!$I$130</f>
        <v>310.02</v>
      </c>
      <c r="G7" s="149">
        <f>+TabelaMatriz!$I$9</f>
        <v>10.35</v>
      </c>
      <c r="H7" s="149">
        <f>+TabelaMatriz!$I$10*4</f>
        <v>48</v>
      </c>
      <c r="I7" s="352">
        <f>SUM(F7:H7)</f>
        <v>368.37</v>
      </c>
      <c r="J7" s="203">
        <f>TRUNC(F7*2%,2)</f>
        <v>6.2</v>
      </c>
      <c r="K7" s="203">
        <f>TRUNC(I7*20%,2)</f>
        <v>73.67</v>
      </c>
      <c r="L7" s="203">
        <f>TRUNC(I7*5%,2)</f>
        <v>18.41</v>
      </c>
      <c r="M7" s="203">
        <f>L7</f>
        <v>18.41</v>
      </c>
      <c r="N7" s="203">
        <f>TRUNC(I7*4%,2)</f>
        <v>14.73</v>
      </c>
      <c r="O7" s="203">
        <v>14.73</v>
      </c>
      <c r="P7" s="203">
        <f>TabelaMatriz!$I$307</f>
        <v>26.939999999999998</v>
      </c>
      <c r="Q7" s="203">
        <v>0</v>
      </c>
      <c r="R7" s="203">
        <v>0</v>
      </c>
      <c r="S7" s="203">
        <v>0</v>
      </c>
      <c r="T7" s="203">
        <f>TabelaMatriz!$I$303</f>
        <v>21.36</v>
      </c>
      <c r="U7" s="254">
        <f>SUM(I7:T7)</f>
        <v>562.82000000000005</v>
      </c>
    </row>
    <row r="8" spans="2:21" s="201" customFormat="1" ht="12">
      <c r="B8" s="351"/>
      <c r="C8" s="61"/>
      <c r="D8" s="308" t="s">
        <v>407</v>
      </c>
      <c r="F8" s="247">
        <f>F7</f>
        <v>310.02</v>
      </c>
      <c r="G8" s="203"/>
      <c r="H8" s="203"/>
      <c r="I8" s="352">
        <f>SUM(F8:H8)</f>
        <v>310.02</v>
      </c>
      <c r="J8" s="203">
        <f>TRUNC(F8*2%,2)</f>
        <v>6.2</v>
      </c>
      <c r="K8" s="203">
        <f>TRUNC(I8*20%,2)</f>
        <v>62</v>
      </c>
      <c r="L8" s="203">
        <f>TRUNC(I8*5%,2)</f>
        <v>15.5</v>
      </c>
      <c r="M8" s="203">
        <f>L8</f>
        <v>15.5</v>
      </c>
      <c r="N8" s="203">
        <f>TRUNC(I8*4%,2)</f>
        <v>12.4</v>
      </c>
      <c r="O8" s="203">
        <v>12.4</v>
      </c>
      <c r="P8" s="203">
        <f>TabelaMatriz!$I$307</f>
        <v>26.939999999999998</v>
      </c>
      <c r="Q8" s="203">
        <v>0</v>
      </c>
      <c r="R8" s="203">
        <v>0</v>
      </c>
      <c r="S8" s="203">
        <v>0</v>
      </c>
      <c r="T8" s="203"/>
      <c r="U8" s="254">
        <f>SUM(I8:T8)</f>
        <v>460.95999999999992</v>
      </c>
    </row>
    <row r="9" spans="2:21" s="201" customFormat="1" ht="12">
      <c r="B9" s="366"/>
      <c r="C9" s="367"/>
      <c r="D9" s="368" t="s">
        <v>3</v>
      </c>
      <c r="E9" s="369"/>
      <c r="F9" s="354">
        <f t="shared" ref="F9:U9" si="1">F7+F8</f>
        <v>620.04</v>
      </c>
      <c r="G9" s="354">
        <f t="shared" si="1"/>
        <v>10.35</v>
      </c>
      <c r="H9" s="354">
        <f t="shared" si="1"/>
        <v>48</v>
      </c>
      <c r="I9" s="354">
        <f t="shared" si="1"/>
        <v>678.39</v>
      </c>
      <c r="J9" s="354">
        <f t="shared" si="1"/>
        <v>12.4</v>
      </c>
      <c r="K9" s="354">
        <f t="shared" si="1"/>
        <v>135.67000000000002</v>
      </c>
      <c r="L9" s="354">
        <f t="shared" si="1"/>
        <v>33.909999999999997</v>
      </c>
      <c r="M9" s="354">
        <f t="shared" si="1"/>
        <v>33.909999999999997</v>
      </c>
      <c r="N9" s="354">
        <f t="shared" si="1"/>
        <v>27.130000000000003</v>
      </c>
      <c r="O9" s="354">
        <f t="shared" si="1"/>
        <v>27.130000000000003</v>
      </c>
      <c r="P9" s="354">
        <f t="shared" si="1"/>
        <v>53.879999999999995</v>
      </c>
      <c r="Q9" s="354">
        <f t="shared" si="1"/>
        <v>0</v>
      </c>
      <c r="R9" s="354">
        <v>0</v>
      </c>
      <c r="S9" s="355">
        <f t="shared" si="1"/>
        <v>0</v>
      </c>
      <c r="T9" s="355">
        <f t="shared" si="1"/>
        <v>21.36</v>
      </c>
      <c r="U9" s="374">
        <f t="shared" si="1"/>
        <v>1023.78</v>
      </c>
    </row>
    <row r="10" spans="2:21" s="201" customFormat="1" ht="12">
      <c r="B10" s="351">
        <f>TabelaMatriz!B131</f>
        <v>30000.01</v>
      </c>
      <c r="C10" s="61">
        <f>TabelaMatriz!H131</f>
        <v>45000</v>
      </c>
      <c r="D10" s="308" t="s">
        <v>406</v>
      </c>
      <c r="F10" s="247">
        <f>TabelaMatriz!$I$131</f>
        <v>432.45</v>
      </c>
      <c r="G10" s="149">
        <f>+TabelaMatriz!$I$9</f>
        <v>10.35</v>
      </c>
      <c r="H10" s="149">
        <f>+TabelaMatriz!$I$10*4</f>
        <v>48</v>
      </c>
      <c r="I10" s="352">
        <f>SUM(F10:H10)</f>
        <v>490.8</v>
      </c>
      <c r="J10" s="203">
        <f>TRUNC(F10*2%,2)</f>
        <v>8.64</v>
      </c>
      <c r="K10" s="203">
        <f>TRUNC(I10*20%,2)</f>
        <v>98.16</v>
      </c>
      <c r="L10" s="203">
        <f>TRUNC(I10*5%,2)</f>
        <v>24.54</v>
      </c>
      <c r="M10" s="203">
        <f>L10</f>
        <v>24.54</v>
      </c>
      <c r="N10" s="203">
        <f>TRUNC(I10*4%,2)</f>
        <v>19.63</v>
      </c>
      <c r="O10" s="203">
        <v>19.63</v>
      </c>
      <c r="P10" s="203">
        <f>TabelaMatriz!$I$307</f>
        <v>26.939999999999998</v>
      </c>
      <c r="Q10" s="203">
        <v>0</v>
      </c>
      <c r="R10" s="203">
        <v>0</v>
      </c>
      <c r="S10" s="203">
        <v>0</v>
      </c>
      <c r="T10" s="203">
        <f>TabelaMatriz!$I$303</f>
        <v>21.36</v>
      </c>
      <c r="U10" s="254">
        <f>SUM(I10:T10)</f>
        <v>734.2399999999999</v>
      </c>
    </row>
    <row r="11" spans="2:21" s="201" customFormat="1" ht="12">
      <c r="B11" s="351"/>
      <c r="C11" s="61"/>
      <c r="D11" s="308" t="s">
        <v>407</v>
      </c>
      <c r="F11" s="247">
        <f>F10</f>
        <v>432.45</v>
      </c>
      <c r="G11" s="203"/>
      <c r="H11" s="203"/>
      <c r="I11" s="352">
        <f>SUM(F11:H11)</f>
        <v>432.45</v>
      </c>
      <c r="J11" s="203">
        <f>TRUNC(F11*2%,2)</f>
        <v>8.64</v>
      </c>
      <c r="K11" s="203">
        <f>TRUNC(I11*20%,2)</f>
        <v>86.49</v>
      </c>
      <c r="L11" s="203">
        <f>TRUNC(I11*5%,2)</f>
        <v>21.62</v>
      </c>
      <c r="M11" s="203">
        <f>L11</f>
        <v>21.62</v>
      </c>
      <c r="N11" s="203">
        <f>TRUNC(I11*4%,2)</f>
        <v>17.29</v>
      </c>
      <c r="O11" s="203">
        <v>17.29</v>
      </c>
      <c r="P11" s="203">
        <f>TabelaMatriz!$I$307</f>
        <v>26.939999999999998</v>
      </c>
      <c r="Q11" s="203">
        <v>0</v>
      </c>
      <c r="R11" s="203">
        <v>0</v>
      </c>
      <c r="S11" s="203">
        <v>0</v>
      </c>
      <c r="T11" s="203"/>
      <c r="U11" s="254">
        <f>SUM(I11:T11)</f>
        <v>632.33999999999992</v>
      </c>
    </row>
    <row r="12" spans="2:21" s="201" customFormat="1" ht="12">
      <c r="B12" s="366"/>
      <c r="C12" s="367"/>
      <c r="D12" s="368" t="s">
        <v>3</v>
      </c>
      <c r="E12" s="369"/>
      <c r="F12" s="354">
        <f t="shared" ref="F12:U12" si="2">F10+F11</f>
        <v>864.9</v>
      </c>
      <c r="G12" s="354">
        <f t="shared" si="2"/>
        <v>10.35</v>
      </c>
      <c r="H12" s="354">
        <f t="shared" si="2"/>
        <v>48</v>
      </c>
      <c r="I12" s="354">
        <f t="shared" si="2"/>
        <v>923.25</v>
      </c>
      <c r="J12" s="354">
        <f t="shared" si="2"/>
        <v>17.28</v>
      </c>
      <c r="K12" s="354">
        <f t="shared" si="2"/>
        <v>184.64999999999998</v>
      </c>
      <c r="L12" s="354">
        <f t="shared" si="2"/>
        <v>46.16</v>
      </c>
      <c r="M12" s="354">
        <f t="shared" si="2"/>
        <v>46.16</v>
      </c>
      <c r="N12" s="354">
        <f t="shared" si="2"/>
        <v>36.92</v>
      </c>
      <c r="O12" s="354">
        <f t="shared" si="2"/>
        <v>36.92</v>
      </c>
      <c r="P12" s="354">
        <f t="shared" si="2"/>
        <v>53.879999999999995</v>
      </c>
      <c r="Q12" s="354">
        <f t="shared" si="2"/>
        <v>0</v>
      </c>
      <c r="R12" s="354">
        <v>0</v>
      </c>
      <c r="S12" s="355">
        <f t="shared" si="2"/>
        <v>0</v>
      </c>
      <c r="T12" s="355">
        <f t="shared" si="2"/>
        <v>21.36</v>
      </c>
      <c r="U12" s="374">
        <f t="shared" si="2"/>
        <v>1366.58</v>
      </c>
    </row>
    <row r="13" spans="2:21" s="201" customFormat="1" ht="12">
      <c r="B13" s="351">
        <f>TabelaMatriz!B132</f>
        <v>45000.01</v>
      </c>
      <c r="C13" s="61">
        <f>TabelaMatriz!H132</f>
        <v>60000</v>
      </c>
      <c r="D13" s="308" t="s">
        <v>406</v>
      </c>
      <c r="F13" s="247">
        <f>TabelaMatriz!$I$132</f>
        <v>530.35</v>
      </c>
      <c r="G13" s="149">
        <f>+TabelaMatriz!$I$9</f>
        <v>10.35</v>
      </c>
      <c r="H13" s="149">
        <f>+TabelaMatriz!$I$10*4</f>
        <v>48</v>
      </c>
      <c r="I13" s="352">
        <f>SUM(F13:H13)</f>
        <v>588.70000000000005</v>
      </c>
      <c r="J13" s="203">
        <f>TRUNC(F13*2%,2)</f>
        <v>10.6</v>
      </c>
      <c r="K13" s="203">
        <f>TRUNC(I13*20%,2)</f>
        <v>117.74</v>
      </c>
      <c r="L13" s="203">
        <f>TRUNC(I13*5%,2)</f>
        <v>29.43</v>
      </c>
      <c r="M13" s="203">
        <f>L13</f>
        <v>29.43</v>
      </c>
      <c r="N13" s="203">
        <f>TRUNC(I13*4%,2)</f>
        <v>23.54</v>
      </c>
      <c r="O13" s="203">
        <v>23.54</v>
      </c>
      <c r="P13" s="203">
        <f>TabelaMatriz!$I$307</f>
        <v>26.939999999999998</v>
      </c>
      <c r="Q13" s="203">
        <v>0</v>
      </c>
      <c r="R13" s="203">
        <v>0</v>
      </c>
      <c r="S13" s="203">
        <v>0</v>
      </c>
      <c r="T13" s="203">
        <f>TabelaMatriz!$I$303</f>
        <v>21.36</v>
      </c>
      <c r="U13" s="254">
        <f>SUM(I13:T13)</f>
        <v>871.27999999999986</v>
      </c>
    </row>
    <row r="14" spans="2:21" s="201" customFormat="1" ht="12">
      <c r="B14" s="351"/>
      <c r="C14" s="61"/>
      <c r="D14" s="308" t="s">
        <v>407</v>
      </c>
      <c r="F14" s="247">
        <f>F13</f>
        <v>530.35</v>
      </c>
      <c r="G14" s="203"/>
      <c r="H14" s="203"/>
      <c r="I14" s="352">
        <f>SUM(F14:H14)</f>
        <v>530.35</v>
      </c>
      <c r="J14" s="203">
        <f>TRUNC(F14*2%,2)</f>
        <v>10.6</v>
      </c>
      <c r="K14" s="203">
        <f>TRUNC(I14*20%,2)</f>
        <v>106.07</v>
      </c>
      <c r="L14" s="203">
        <f>TRUNC(I14*5%,2)</f>
        <v>26.51</v>
      </c>
      <c r="M14" s="203">
        <f>L14</f>
        <v>26.51</v>
      </c>
      <c r="N14" s="203">
        <f>TRUNC(I14*4%,2)</f>
        <v>21.21</v>
      </c>
      <c r="O14" s="203">
        <v>21.21</v>
      </c>
      <c r="P14" s="203">
        <f>TabelaMatriz!$I$307</f>
        <v>26.939999999999998</v>
      </c>
      <c r="Q14" s="203">
        <v>0</v>
      </c>
      <c r="R14" s="203">
        <v>0</v>
      </c>
      <c r="S14" s="203">
        <v>0</v>
      </c>
      <c r="T14" s="203"/>
      <c r="U14" s="254">
        <f>SUM(I14:T14)</f>
        <v>769.40000000000009</v>
      </c>
    </row>
    <row r="15" spans="2:21" s="201" customFormat="1" ht="12">
      <c r="B15" s="366"/>
      <c r="C15" s="367"/>
      <c r="D15" s="368" t="s">
        <v>3</v>
      </c>
      <c r="E15" s="369"/>
      <c r="F15" s="354">
        <f t="shared" ref="F15:U15" si="3">F13+F14</f>
        <v>1060.7</v>
      </c>
      <c r="G15" s="354">
        <f t="shared" si="3"/>
        <v>10.35</v>
      </c>
      <c r="H15" s="354">
        <f t="shared" si="3"/>
        <v>48</v>
      </c>
      <c r="I15" s="354">
        <f t="shared" si="3"/>
        <v>1119.0500000000002</v>
      </c>
      <c r="J15" s="354">
        <f t="shared" si="3"/>
        <v>21.2</v>
      </c>
      <c r="K15" s="354">
        <f t="shared" si="3"/>
        <v>223.81</v>
      </c>
      <c r="L15" s="354">
        <f t="shared" si="3"/>
        <v>55.94</v>
      </c>
      <c r="M15" s="354">
        <f t="shared" si="3"/>
        <v>55.94</v>
      </c>
      <c r="N15" s="354">
        <f t="shared" si="3"/>
        <v>44.75</v>
      </c>
      <c r="O15" s="354">
        <f t="shared" si="3"/>
        <v>44.75</v>
      </c>
      <c r="P15" s="354">
        <f t="shared" si="3"/>
        <v>53.879999999999995</v>
      </c>
      <c r="Q15" s="354">
        <f t="shared" si="3"/>
        <v>0</v>
      </c>
      <c r="R15" s="354">
        <f t="shared" si="3"/>
        <v>0</v>
      </c>
      <c r="S15" s="355">
        <f t="shared" si="3"/>
        <v>0</v>
      </c>
      <c r="T15" s="355">
        <f t="shared" si="3"/>
        <v>21.36</v>
      </c>
      <c r="U15" s="374">
        <f t="shared" si="3"/>
        <v>1640.6799999999998</v>
      </c>
    </row>
    <row r="16" spans="2:21" s="201" customFormat="1" ht="12">
      <c r="B16" s="351">
        <f>TabelaMatriz!B133</f>
        <v>60000.01</v>
      </c>
      <c r="C16" s="61">
        <f>TabelaMatriz!H133</f>
        <v>80000</v>
      </c>
      <c r="D16" s="308" t="s">
        <v>406</v>
      </c>
      <c r="F16" s="247">
        <f>TabelaMatriz!$I$133</f>
        <v>940</v>
      </c>
      <c r="G16" s="149">
        <f>+TabelaMatriz!$I$9</f>
        <v>10.35</v>
      </c>
      <c r="H16" s="149">
        <f>+TabelaMatriz!$I$10*4</f>
        <v>48</v>
      </c>
      <c r="I16" s="352">
        <f>SUM(F16:H16)</f>
        <v>998.35</v>
      </c>
      <c r="J16" s="203">
        <f>TRUNC(F16*2%,2)</f>
        <v>18.8</v>
      </c>
      <c r="K16" s="203">
        <f>TRUNC(I16*20%,2)</f>
        <v>199.67</v>
      </c>
      <c r="L16" s="203">
        <f>TRUNC(I16*5%,2)</f>
        <v>49.91</v>
      </c>
      <c r="M16" s="203">
        <f>L16</f>
        <v>49.91</v>
      </c>
      <c r="N16" s="203">
        <f>TRUNC(I16*4%,2)</f>
        <v>39.93</v>
      </c>
      <c r="O16" s="203">
        <v>39.93</v>
      </c>
      <c r="P16" s="203">
        <f>TabelaMatriz!$I$307</f>
        <v>26.939999999999998</v>
      </c>
      <c r="Q16" s="203">
        <v>0</v>
      </c>
      <c r="R16" s="203">
        <v>0</v>
      </c>
      <c r="S16" s="203">
        <v>0</v>
      </c>
      <c r="T16" s="203">
        <f>TabelaMatriz!$I$303</f>
        <v>21.36</v>
      </c>
      <c r="U16" s="254">
        <f>SUM(I16:T16)</f>
        <v>1444.8000000000002</v>
      </c>
    </row>
    <row r="17" spans="2:21" s="201" customFormat="1" ht="12">
      <c r="B17" s="351"/>
      <c r="C17" s="61"/>
      <c r="D17" s="308" t="s">
        <v>407</v>
      </c>
      <c r="F17" s="247">
        <f>F16</f>
        <v>940</v>
      </c>
      <c r="G17" s="203"/>
      <c r="H17" s="203"/>
      <c r="I17" s="352">
        <f>SUM(F17:H17)</f>
        <v>940</v>
      </c>
      <c r="J17" s="203">
        <f>TRUNC(F17*2%,2)</f>
        <v>18.8</v>
      </c>
      <c r="K17" s="203">
        <f>TRUNC(I17*20%,2)</f>
        <v>188</v>
      </c>
      <c r="L17" s="203">
        <f>TRUNC(I17*5%,2)</f>
        <v>47</v>
      </c>
      <c r="M17" s="203">
        <f>L17</f>
        <v>47</v>
      </c>
      <c r="N17" s="203">
        <f>TRUNC(I17*4%,2)</f>
        <v>37.6</v>
      </c>
      <c r="O17" s="203">
        <v>37.6</v>
      </c>
      <c r="P17" s="203">
        <f>TabelaMatriz!$I$307</f>
        <v>26.939999999999998</v>
      </c>
      <c r="Q17" s="203">
        <v>0</v>
      </c>
      <c r="R17" s="203">
        <v>0</v>
      </c>
      <c r="S17" s="203">
        <v>0</v>
      </c>
      <c r="T17" s="203"/>
      <c r="U17" s="254">
        <f>SUM(I17:T17)</f>
        <v>1342.9399999999998</v>
      </c>
    </row>
    <row r="18" spans="2:21" s="201" customFormat="1" ht="12">
      <c r="B18" s="366"/>
      <c r="C18" s="367"/>
      <c r="D18" s="368" t="s">
        <v>3</v>
      </c>
      <c r="E18" s="369"/>
      <c r="F18" s="354">
        <f t="shared" ref="F18:U18" si="4">F16+F17</f>
        <v>1880</v>
      </c>
      <c r="G18" s="354">
        <f t="shared" si="4"/>
        <v>10.35</v>
      </c>
      <c r="H18" s="354">
        <f t="shared" si="4"/>
        <v>48</v>
      </c>
      <c r="I18" s="354">
        <f t="shared" si="4"/>
        <v>1938.35</v>
      </c>
      <c r="J18" s="354">
        <f t="shared" si="4"/>
        <v>37.6</v>
      </c>
      <c r="K18" s="354">
        <f t="shared" si="4"/>
        <v>387.66999999999996</v>
      </c>
      <c r="L18" s="354">
        <f t="shared" si="4"/>
        <v>96.91</v>
      </c>
      <c r="M18" s="354">
        <f t="shared" si="4"/>
        <v>96.91</v>
      </c>
      <c r="N18" s="354">
        <f t="shared" si="4"/>
        <v>77.53</v>
      </c>
      <c r="O18" s="354">
        <f t="shared" si="4"/>
        <v>77.53</v>
      </c>
      <c r="P18" s="354">
        <f t="shared" si="4"/>
        <v>53.879999999999995</v>
      </c>
      <c r="Q18" s="354">
        <f t="shared" si="4"/>
        <v>0</v>
      </c>
      <c r="R18" s="354">
        <f t="shared" si="4"/>
        <v>0</v>
      </c>
      <c r="S18" s="355">
        <f t="shared" si="4"/>
        <v>0</v>
      </c>
      <c r="T18" s="355">
        <f t="shared" si="4"/>
        <v>21.36</v>
      </c>
      <c r="U18" s="374">
        <f t="shared" si="4"/>
        <v>2787.74</v>
      </c>
    </row>
    <row r="19" spans="2:21" s="201" customFormat="1" ht="12">
      <c r="B19" s="351">
        <f>TabelaMatriz!B134</f>
        <v>80000.009999999995</v>
      </c>
      <c r="C19" s="61">
        <f>TabelaMatriz!H134</f>
        <v>100000</v>
      </c>
      <c r="D19" s="308" t="s">
        <v>406</v>
      </c>
      <c r="F19" s="247">
        <f>TabelaMatriz!$I$134</f>
        <v>1109.73</v>
      </c>
      <c r="G19" s="149">
        <f>+TabelaMatriz!$I$9</f>
        <v>10.35</v>
      </c>
      <c r="H19" s="149">
        <f>+TabelaMatriz!$I$10*4</f>
        <v>48</v>
      </c>
      <c r="I19" s="352">
        <f>SUM(F19:H19)</f>
        <v>1168.08</v>
      </c>
      <c r="J19" s="203">
        <f>TRUNC(F19*2%,2)</f>
        <v>22.19</v>
      </c>
      <c r="K19" s="203">
        <f>TRUNC(I19*20%,2)</f>
        <v>233.61</v>
      </c>
      <c r="L19" s="203">
        <f>TRUNC(I19*5%,2)</f>
        <v>58.4</v>
      </c>
      <c r="M19" s="203">
        <f>L19</f>
        <v>58.4</v>
      </c>
      <c r="N19" s="203">
        <f>TRUNC(I19*4%,2)</f>
        <v>46.72</v>
      </c>
      <c r="O19" s="203">
        <v>46.72</v>
      </c>
      <c r="P19" s="203">
        <f>TabelaMatriz!$I$307</f>
        <v>26.939999999999998</v>
      </c>
      <c r="Q19" s="203">
        <v>0</v>
      </c>
      <c r="R19" s="203">
        <v>0</v>
      </c>
      <c r="S19" s="203">
        <v>0</v>
      </c>
      <c r="T19" s="203">
        <f>TabelaMatriz!$I$303</f>
        <v>21.36</v>
      </c>
      <c r="U19" s="254">
        <f>SUM(I19:T19)</f>
        <v>1682.4200000000003</v>
      </c>
    </row>
    <row r="20" spans="2:21" s="201" customFormat="1" ht="12">
      <c r="B20" s="351"/>
      <c r="C20" s="61"/>
      <c r="D20" s="308" t="s">
        <v>407</v>
      </c>
      <c r="F20" s="247">
        <f>F19</f>
        <v>1109.73</v>
      </c>
      <c r="G20" s="203"/>
      <c r="H20" s="203"/>
      <c r="I20" s="352">
        <f>SUM(F20:H20)</f>
        <v>1109.73</v>
      </c>
      <c r="J20" s="203">
        <f>TRUNC(F20*2%,2)</f>
        <v>22.19</v>
      </c>
      <c r="K20" s="203">
        <f>TRUNC(I20*20%,2)</f>
        <v>221.94</v>
      </c>
      <c r="L20" s="203">
        <f>TRUNC(I20*5%,2)</f>
        <v>55.48</v>
      </c>
      <c r="M20" s="203">
        <f>L20</f>
        <v>55.48</v>
      </c>
      <c r="N20" s="203">
        <f>TRUNC(I20*4%,2)</f>
        <v>44.38</v>
      </c>
      <c r="O20" s="203">
        <v>44.38</v>
      </c>
      <c r="P20" s="203">
        <f>TabelaMatriz!$I$307</f>
        <v>26.939999999999998</v>
      </c>
      <c r="Q20" s="203">
        <v>0</v>
      </c>
      <c r="R20" s="203">
        <v>0</v>
      </c>
      <c r="S20" s="203">
        <v>0</v>
      </c>
      <c r="T20" s="203"/>
      <c r="U20" s="254">
        <f>SUM(I20:T20)</f>
        <v>1580.5200000000004</v>
      </c>
    </row>
    <row r="21" spans="2:21" s="201" customFormat="1" ht="12">
      <c r="B21" s="366"/>
      <c r="C21" s="367"/>
      <c r="D21" s="368" t="s">
        <v>3</v>
      </c>
      <c r="E21" s="369"/>
      <c r="F21" s="354">
        <f t="shared" ref="F21:U21" si="5">F19+F20</f>
        <v>2219.46</v>
      </c>
      <c r="G21" s="354">
        <f t="shared" si="5"/>
        <v>10.35</v>
      </c>
      <c r="H21" s="354">
        <f t="shared" si="5"/>
        <v>48</v>
      </c>
      <c r="I21" s="354">
        <f t="shared" si="5"/>
        <v>2277.81</v>
      </c>
      <c r="J21" s="354">
        <f t="shared" si="5"/>
        <v>44.38</v>
      </c>
      <c r="K21" s="354">
        <f t="shared" si="5"/>
        <v>455.55</v>
      </c>
      <c r="L21" s="354">
        <f t="shared" si="5"/>
        <v>113.88</v>
      </c>
      <c r="M21" s="354">
        <f t="shared" si="5"/>
        <v>113.88</v>
      </c>
      <c r="N21" s="354">
        <f t="shared" si="5"/>
        <v>91.1</v>
      </c>
      <c r="O21" s="354">
        <f t="shared" si="5"/>
        <v>91.1</v>
      </c>
      <c r="P21" s="354">
        <f t="shared" si="5"/>
        <v>53.879999999999995</v>
      </c>
      <c r="Q21" s="354">
        <f t="shared" si="5"/>
        <v>0</v>
      </c>
      <c r="R21" s="354">
        <f t="shared" si="5"/>
        <v>0</v>
      </c>
      <c r="S21" s="355">
        <f t="shared" si="5"/>
        <v>0</v>
      </c>
      <c r="T21" s="355">
        <f t="shared" si="5"/>
        <v>21.36</v>
      </c>
      <c r="U21" s="374">
        <f t="shared" si="5"/>
        <v>3262.9400000000005</v>
      </c>
    </row>
    <row r="22" spans="2:21" s="201" customFormat="1" ht="12">
      <c r="B22" s="351">
        <f>TabelaMatriz!B135</f>
        <v>100000.01</v>
      </c>
      <c r="C22" s="61">
        <f>TabelaMatriz!H135</f>
        <v>200000</v>
      </c>
      <c r="D22" s="308" t="s">
        <v>406</v>
      </c>
      <c r="F22" s="247">
        <f>TabelaMatriz!$I$135</f>
        <v>1501.39</v>
      </c>
      <c r="G22" s="149">
        <f>+TabelaMatriz!$I$9</f>
        <v>10.35</v>
      </c>
      <c r="H22" s="149">
        <f>+TabelaMatriz!$I$10*4</f>
        <v>48</v>
      </c>
      <c r="I22" s="352">
        <f>SUM(F22:H22)</f>
        <v>1559.74</v>
      </c>
      <c r="J22" s="203">
        <f>TRUNC(F22*2%,2)</f>
        <v>30.02</v>
      </c>
      <c r="K22" s="203">
        <f>TRUNC(I22*20%,2)</f>
        <v>311.94</v>
      </c>
      <c r="L22" s="203">
        <f>TRUNC(I22*5%,2)</f>
        <v>77.98</v>
      </c>
      <c r="M22" s="203">
        <f>L22</f>
        <v>77.98</v>
      </c>
      <c r="N22" s="203">
        <f>TRUNC(I22*4%,2)</f>
        <v>62.38</v>
      </c>
      <c r="O22" s="203">
        <v>62.38</v>
      </c>
      <c r="P22" s="203">
        <f>TabelaMatriz!$I$307</f>
        <v>26.939999999999998</v>
      </c>
      <c r="Q22" s="203">
        <v>0</v>
      </c>
      <c r="R22" s="203">
        <v>0</v>
      </c>
      <c r="S22" s="203">
        <v>0</v>
      </c>
      <c r="T22" s="203">
        <f>TabelaMatriz!$I$303</f>
        <v>21.36</v>
      </c>
      <c r="U22" s="254">
        <f>SUM(I22:T22)</f>
        <v>2230.7200000000003</v>
      </c>
    </row>
    <row r="23" spans="2:21" s="201" customFormat="1" ht="12">
      <c r="B23" s="351"/>
      <c r="C23" s="61"/>
      <c r="D23" s="308" t="s">
        <v>407</v>
      </c>
      <c r="F23" s="247">
        <f>F22</f>
        <v>1501.39</v>
      </c>
      <c r="G23" s="203"/>
      <c r="H23" s="203"/>
      <c r="I23" s="352">
        <f>SUM(F23:H23)</f>
        <v>1501.39</v>
      </c>
      <c r="J23" s="203">
        <f>TRUNC(F23*2%,2)</f>
        <v>30.02</v>
      </c>
      <c r="K23" s="203">
        <f>TRUNC(I23*20%,2)</f>
        <v>300.27</v>
      </c>
      <c r="L23" s="203">
        <f>TRUNC(I23*5%,2)</f>
        <v>75.06</v>
      </c>
      <c r="M23" s="203">
        <f>L23</f>
        <v>75.06</v>
      </c>
      <c r="N23" s="203">
        <f>TRUNC(I23*4%,2)</f>
        <v>60.05</v>
      </c>
      <c r="O23" s="203">
        <v>60.05</v>
      </c>
      <c r="P23" s="203">
        <f>TabelaMatriz!$I$307</f>
        <v>26.939999999999998</v>
      </c>
      <c r="Q23" s="203">
        <v>0</v>
      </c>
      <c r="R23" s="203">
        <v>0</v>
      </c>
      <c r="S23" s="203">
        <v>0</v>
      </c>
      <c r="T23" s="203"/>
      <c r="U23" s="254">
        <f>SUM(I23:T23)</f>
        <v>2128.84</v>
      </c>
    </row>
    <row r="24" spans="2:21" s="201" customFormat="1" ht="12">
      <c r="B24" s="366"/>
      <c r="C24" s="367"/>
      <c r="D24" s="368" t="s">
        <v>3</v>
      </c>
      <c r="E24" s="369"/>
      <c r="F24" s="354">
        <f t="shared" ref="F24:U24" si="6">F22+F23</f>
        <v>3002.78</v>
      </c>
      <c r="G24" s="354">
        <f t="shared" si="6"/>
        <v>10.35</v>
      </c>
      <c r="H24" s="354">
        <f t="shared" si="6"/>
        <v>48</v>
      </c>
      <c r="I24" s="354">
        <f t="shared" si="6"/>
        <v>3061.13</v>
      </c>
      <c r="J24" s="354">
        <f t="shared" si="6"/>
        <v>60.04</v>
      </c>
      <c r="K24" s="354">
        <f t="shared" si="6"/>
        <v>612.21</v>
      </c>
      <c r="L24" s="354">
        <f t="shared" si="6"/>
        <v>153.04000000000002</v>
      </c>
      <c r="M24" s="354">
        <f t="shared" si="6"/>
        <v>153.04000000000002</v>
      </c>
      <c r="N24" s="354">
        <f t="shared" si="6"/>
        <v>122.43</v>
      </c>
      <c r="O24" s="354">
        <f t="shared" si="6"/>
        <v>122.43</v>
      </c>
      <c r="P24" s="354">
        <f t="shared" si="6"/>
        <v>53.879999999999995</v>
      </c>
      <c r="Q24" s="354">
        <f t="shared" si="6"/>
        <v>0</v>
      </c>
      <c r="R24" s="354">
        <f t="shared" si="6"/>
        <v>0</v>
      </c>
      <c r="S24" s="355">
        <f t="shared" si="6"/>
        <v>0</v>
      </c>
      <c r="T24" s="355">
        <f t="shared" si="6"/>
        <v>21.36</v>
      </c>
      <c r="U24" s="374">
        <f t="shared" si="6"/>
        <v>4359.5600000000004</v>
      </c>
    </row>
    <row r="25" spans="2:21" s="201" customFormat="1" ht="12">
      <c r="B25" s="351">
        <f>TabelaMatriz!B136</f>
        <v>200000.01</v>
      </c>
      <c r="C25" s="61">
        <f>TabelaMatriz!H136</f>
        <v>400000</v>
      </c>
      <c r="D25" s="308" t="s">
        <v>406</v>
      </c>
      <c r="F25" s="247">
        <f>TabelaMatriz!$I$136</f>
        <v>1611.02</v>
      </c>
      <c r="G25" s="149">
        <f>+TabelaMatriz!$I$9</f>
        <v>10.35</v>
      </c>
      <c r="H25" s="149">
        <f>+TabelaMatriz!$I$10*4</f>
        <v>48</v>
      </c>
      <c r="I25" s="352">
        <f>SUM(F25:H25)</f>
        <v>1669.37</v>
      </c>
      <c r="J25" s="203">
        <f>TRUNC(F25*2%,2)</f>
        <v>32.22</v>
      </c>
      <c r="K25" s="203">
        <f>TRUNC(I25*20%,2)</f>
        <v>333.87</v>
      </c>
      <c r="L25" s="203">
        <f>TRUNC(I25*5%,2)</f>
        <v>83.46</v>
      </c>
      <c r="M25" s="203">
        <f>L25</f>
        <v>83.46</v>
      </c>
      <c r="N25" s="203">
        <f>TRUNC(I25*4%,2)</f>
        <v>66.77</v>
      </c>
      <c r="O25" s="203">
        <v>66.77</v>
      </c>
      <c r="P25" s="203">
        <f>TabelaMatriz!$I$307</f>
        <v>26.939999999999998</v>
      </c>
      <c r="Q25" s="203">
        <v>0</v>
      </c>
      <c r="R25" s="203">
        <v>0</v>
      </c>
      <c r="S25" s="203">
        <v>0</v>
      </c>
      <c r="T25" s="203">
        <f>TabelaMatriz!$I$303</f>
        <v>21.36</v>
      </c>
      <c r="U25" s="254">
        <f>SUM(I25:T25)</f>
        <v>2384.2200000000003</v>
      </c>
    </row>
    <row r="26" spans="2:21" s="201" customFormat="1" ht="12">
      <c r="B26" s="351"/>
      <c r="C26" s="61"/>
      <c r="D26" s="308" t="s">
        <v>407</v>
      </c>
      <c r="F26" s="247">
        <f>F25</f>
        <v>1611.02</v>
      </c>
      <c r="G26" s="203"/>
      <c r="H26" s="203"/>
      <c r="I26" s="352">
        <f>SUM(F26:H26)</f>
        <v>1611.02</v>
      </c>
      <c r="J26" s="203">
        <f>TRUNC(F26*2%,2)</f>
        <v>32.22</v>
      </c>
      <c r="K26" s="203">
        <f>TRUNC(I26*20%,2)</f>
        <v>322.2</v>
      </c>
      <c r="L26" s="203">
        <f>TRUNC(I26*5%,2)</f>
        <v>80.55</v>
      </c>
      <c r="M26" s="203">
        <f>L26</f>
        <v>80.55</v>
      </c>
      <c r="N26" s="203">
        <f>TRUNC(I26*4%,2)</f>
        <v>64.44</v>
      </c>
      <c r="O26" s="203">
        <v>64.44</v>
      </c>
      <c r="P26" s="203">
        <f>TabelaMatriz!$I$307</f>
        <v>26.939999999999998</v>
      </c>
      <c r="Q26" s="203">
        <v>0</v>
      </c>
      <c r="R26" s="203">
        <v>0</v>
      </c>
      <c r="S26" s="203">
        <v>0</v>
      </c>
      <c r="T26" s="203"/>
      <c r="U26" s="254">
        <f>SUM(I26:T26)</f>
        <v>2282.36</v>
      </c>
    </row>
    <row r="27" spans="2:21" s="201" customFormat="1" ht="12">
      <c r="B27" s="366"/>
      <c r="C27" s="367"/>
      <c r="D27" s="368" t="s">
        <v>3</v>
      </c>
      <c r="E27" s="369"/>
      <c r="F27" s="354">
        <f t="shared" ref="F27:U27" si="7">F25+F26</f>
        <v>3222.04</v>
      </c>
      <c r="G27" s="354">
        <f t="shared" si="7"/>
        <v>10.35</v>
      </c>
      <c r="H27" s="354">
        <f t="shared" si="7"/>
        <v>48</v>
      </c>
      <c r="I27" s="354">
        <f t="shared" si="7"/>
        <v>3280.39</v>
      </c>
      <c r="J27" s="354">
        <f t="shared" si="7"/>
        <v>64.44</v>
      </c>
      <c r="K27" s="354">
        <f t="shared" si="7"/>
        <v>656.06999999999994</v>
      </c>
      <c r="L27" s="354">
        <f t="shared" si="7"/>
        <v>164.01</v>
      </c>
      <c r="M27" s="354">
        <f t="shared" si="7"/>
        <v>164.01</v>
      </c>
      <c r="N27" s="354">
        <f t="shared" si="7"/>
        <v>131.20999999999998</v>
      </c>
      <c r="O27" s="354">
        <f t="shared" si="7"/>
        <v>131.20999999999998</v>
      </c>
      <c r="P27" s="354">
        <f t="shared" si="7"/>
        <v>53.879999999999995</v>
      </c>
      <c r="Q27" s="354">
        <f t="shared" si="7"/>
        <v>0</v>
      </c>
      <c r="R27" s="354">
        <f t="shared" si="7"/>
        <v>0</v>
      </c>
      <c r="S27" s="355">
        <f t="shared" si="7"/>
        <v>0</v>
      </c>
      <c r="T27" s="355">
        <f t="shared" si="7"/>
        <v>21.36</v>
      </c>
      <c r="U27" s="374">
        <f t="shared" si="7"/>
        <v>4666.58</v>
      </c>
    </row>
    <row r="28" spans="2:21" ht="12.75" customHeight="1">
      <c r="B28" s="793" t="s">
        <v>502</v>
      </c>
      <c r="C28" s="794"/>
      <c r="D28" s="794"/>
      <c r="E28" s="794"/>
      <c r="F28" s="795">
        <f>TabelaMatriz!I138</f>
        <v>144.75</v>
      </c>
      <c r="G28" s="385"/>
      <c r="H28" s="385"/>
      <c r="I28" s="388">
        <f>SUM(F28:H28)</f>
        <v>144.75</v>
      </c>
      <c r="J28" s="385">
        <f>TRUNC(F28*2%,2)</f>
        <v>2.89</v>
      </c>
      <c r="K28" s="385">
        <f>TRUNC(I28*20%,2)</f>
        <v>28.95</v>
      </c>
      <c r="L28" s="385">
        <f>TRUNC(I28*5%,2)</f>
        <v>7.23</v>
      </c>
      <c r="M28" s="385">
        <f>L28</f>
        <v>7.23</v>
      </c>
      <c r="N28" s="385">
        <f>TRUNC(I28*4%,2)</f>
        <v>5.79</v>
      </c>
      <c r="O28" s="256">
        <v>5.79</v>
      </c>
      <c r="P28" s="385"/>
      <c r="Q28" s="385"/>
      <c r="R28" s="385"/>
      <c r="S28" s="385"/>
      <c r="T28" s="389"/>
      <c r="U28" s="325">
        <f>SUM(I28:T28)</f>
        <v>202.62999999999994</v>
      </c>
    </row>
    <row r="29" spans="2:21" ht="3" customHeight="1">
      <c r="B29" s="289"/>
      <c r="C29" s="290"/>
      <c r="D29" s="290"/>
      <c r="E29" s="290"/>
      <c r="F29" s="796"/>
      <c r="G29" s="435"/>
      <c r="H29" s="436"/>
      <c r="I29" s="437"/>
      <c r="J29" s="437"/>
      <c r="K29" s="428"/>
      <c r="L29" s="428"/>
      <c r="M29" s="428"/>
      <c r="N29" s="428"/>
      <c r="O29" s="428"/>
      <c r="P29" s="428"/>
      <c r="Q29" s="428"/>
      <c r="R29" s="428"/>
      <c r="S29" s="428"/>
      <c r="T29" s="438"/>
      <c r="U29" s="353"/>
    </row>
    <row r="30" spans="2:21" s="201" customFormat="1" ht="12" customHeight="1">
      <c r="B30" s="789" t="s">
        <v>409</v>
      </c>
      <c r="C30" s="790"/>
      <c r="D30" s="790"/>
      <c r="E30" s="791"/>
      <c r="F30" s="247"/>
      <c r="G30" s="439"/>
      <c r="H30" s="440"/>
      <c r="I30" s="441"/>
      <c r="J30" s="217"/>
      <c r="K30" s="217"/>
      <c r="L30" s="217"/>
      <c r="M30" s="217"/>
      <c r="N30" s="217"/>
      <c r="O30" s="217"/>
      <c r="P30" s="217"/>
      <c r="Q30" s="217"/>
      <c r="R30" s="217"/>
      <c r="S30" s="217"/>
      <c r="T30" s="442"/>
      <c r="U30" s="463"/>
    </row>
    <row r="31" spans="2:21" s="201" customFormat="1" ht="2.25" customHeight="1">
      <c r="B31" s="362"/>
      <c r="C31" s="363"/>
      <c r="D31" s="363"/>
      <c r="E31" s="363"/>
      <c r="F31" s="768">
        <f>F4</f>
        <v>187.63</v>
      </c>
      <c r="G31" s="141"/>
      <c r="H31" s="141"/>
      <c r="I31" s="352"/>
      <c r="J31" s="203"/>
      <c r="K31" s="203"/>
      <c r="L31" s="203"/>
      <c r="M31" s="203"/>
      <c r="N31" s="203"/>
      <c r="O31" s="203"/>
      <c r="P31" s="203"/>
      <c r="Q31" s="203"/>
      <c r="R31" s="203"/>
      <c r="S31" s="203"/>
      <c r="T31" s="203"/>
      <c r="U31" s="361"/>
    </row>
    <row r="32" spans="2:21" s="201" customFormat="1" ht="12.75" customHeight="1">
      <c r="B32" s="351">
        <f>B4</f>
        <v>0.01</v>
      </c>
      <c r="C32" s="61">
        <f>C4</f>
        <v>15000</v>
      </c>
      <c r="D32" s="201" t="s">
        <v>410</v>
      </c>
      <c r="F32" s="769"/>
      <c r="G32" s="427">
        <f>+TabelaMatriz!$I$9</f>
        <v>10.35</v>
      </c>
      <c r="H32" s="149">
        <f>+TabelaMatriz!$I$10*4</f>
        <v>48</v>
      </c>
      <c r="I32" s="352">
        <f>SUM(F32:H32)</f>
        <v>58.35</v>
      </c>
      <c r="J32" s="203">
        <f>TRUNC(F31*2%,2)</f>
        <v>3.75</v>
      </c>
      <c r="K32" s="203">
        <f>TRUNC(I32*20%,2)</f>
        <v>11.67</v>
      </c>
      <c r="L32" s="203">
        <f>TRUNC(I32*5%,2)</f>
        <v>2.91</v>
      </c>
      <c r="M32" s="203">
        <f>L32</f>
        <v>2.91</v>
      </c>
      <c r="N32" s="203">
        <f>TRUNC(I32*4%,2)</f>
        <v>2.33</v>
      </c>
      <c r="O32" s="203">
        <v>2.33</v>
      </c>
      <c r="P32" s="203">
        <f>TabelaMatriz!$I$307</f>
        <v>26.939999999999998</v>
      </c>
      <c r="Q32" s="203">
        <v>0</v>
      </c>
      <c r="R32" s="203">
        <v>0</v>
      </c>
      <c r="S32" s="203">
        <v>0</v>
      </c>
      <c r="T32" s="203">
        <f>TabelaMatriz!$I$303</f>
        <v>21.36</v>
      </c>
      <c r="U32" s="464">
        <f>SUM(I32:T32)</f>
        <v>132.54999999999998</v>
      </c>
    </row>
    <row r="33" spans="2:21" s="201" customFormat="1" ht="12">
      <c r="B33" s="362"/>
      <c r="C33" s="363"/>
      <c r="D33" s="201" t="s">
        <v>411</v>
      </c>
      <c r="E33" s="363"/>
      <c r="F33" s="269">
        <f>TabelaMatriz!$I$148</f>
        <v>99.53</v>
      </c>
      <c r="G33" s="203"/>
      <c r="H33" s="203"/>
      <c r="I33" s="352">
        <f>SUM(F33:H33)</f>
        <v>99.53</v>
      </c>
      <c r="J33" s="203">
        <f>TRUNC(F33*2%,2)</f>
        <v>1.99</v>
      </c>
      <c r="K33" s="203">
        <f>TRUNC(I33*20%,2)</f>
        <v>19.899999999999999</v>
      </c>
      <c r="L33" s="203">
        <f>TRUNC(I33*5%,2)</f>
        <v>4.97</v>
      </c>
      <c r="M33" s="203">
        <f>L33</f>
        <v>4.97</v>
      </c>
      <c r="N33" s="203">
        <f>TRUNC(I33*4%,2)</f>
        <v>3.98</v>
      </c>
      <c r="O33" s="203">
        <v>3.98</v>
      </c>
      <c r="P33" s="203">
        <f>TabelaMatriz!$I$307</f>
        <v>26.939999999999998</v>
      </c>
      <c r="Q33" s="203"/>
      <c r="R33" s="203">
        <v>0</v>
      </c>
      <c r="S33" s="203">
        <v>0</v>
      </c>
      <c r="T33" s="203"/>
      <c r="U33" s="356">
        <f>SUM(I33:T33)</f>
        <v>166.25999999999996</v>
      </c>
    </row>
    <row r="34" spans="2:21" s="201" customFormat="1" ht="12">
      <c r="B34" s="366"/>
      <c r="C34" s="367"/>
      <c r="D34" s="368" t="s">
        <v>3</v>
      </c>
      <c r="E34" s="369"/>
      <c r="F34" s="354">
        <f>F31+F33</f>
        <v>287.15999999999997</v>
      </c>
      <c r="G34" s="354">
        <f t="shared" ref="G34:U34" si="8">G32+G33</f>
        <v>10.35</v>
      </c>
      <c r="H34" s="354">
        <f t="shared" si="8"/>
        <v>48</v>
      </c>
      <c r="I34" s="354">
        <f t="shared" si="8"/>
        <v>157.88</v>
      </c>
      <c r="J34" s="354">
        <f t="shared" si="8"/>
        <v>5.74</v>
      </c>
      <c r="K34" s="354">
        <f t="shared" si="8"/>
        <v>31.57</v>
      </c>
      <c r="L34" s="354">
        <f t="shared" si="8"/>
        <v>7.88</v>
      </c>
      <c r="M34" s="354">
        <f t="shared" si="8"/>
        <v>7.88</v>
      </c>
      <c r="N34" s="354">
        <f t="shared" si="8"/>
        <v>6.3100000000000005</v>
      </c>
      <c r="O34" s="354">
        <f t="shared" si="8"/>
        <v>6.3100000000000005</v>
      </c>
      <c r="P34" s="354">
        <f t="shared" si="8"/>
        <v>53.879999999999995</v>
      </c>
      <c r="Q34" s="354">
        <f t="shared" si="8"/>
        <v>0</v>
      </c>
      <c r="R34" s="354">
        <v>0</v>
      </c>
      <c r="S34" s="355">
        <v>0</v>
      </c>
      <c r="T34" s="355">
        <f t="shared" si="8"/>
        <v>21.36</v>
      </c>
      <c r="U34" s="374">
        <f t="shared" si="8"/>
        <v>298.80999999999995</v>
      </c>
    </row>
    <row r="35" spans="2:21" s="201" customFormat="1" ht="12">
      <c r="B35" s="351">
        <f>B7</f>
        <v>15000.01</v>
      </c>
      <c r="C35" s="61">
        <f>C7</f>
        <v>30000</v>
      </c>
      <c r="D35" s="201" t="s">
        <v>410</v>
      </c>
      <c r="F35" s="247">
        <f>F7</f>
        <v>310.02</v>
      </c>
      <c r="G35" s="149">
        <f>+TabelaMatriz!$I$9</f>
        <v>10.35</v>
      </c>
      <c r="H35" s="149">
        <f>+TabelaMatriz!$I$10*4</f>
        <v>48</v>
      </c>
      <c r="I35" s="352">
        <f>SUM(F35:H35)</f>
        <v>368.37</v>
      </c>
      <c r="J35" s="203">
        <f>TRUNC(F35*2%,2)</f>
        <v>6.2</v>
      </c>
      <c r="K35" s="203">
        <f>TRUNC(I35*20%,2)</f>
        <v>73.67</v>
      </c>
      <c r="L35" s="203">
        <f>TRUNC(I35*5%,2)</f>
        <v>18.41</v>
      </c>
      <c r="M35" s="203">
        <f>L35</f>
        <v>18.41</v>
      </c>
      <c r="N35" s="203">
        <f>TRUNC(I35*4%,2)</f>
        <v>14.73</v>
      </c>
      <c r="O35" s="203">
        <v>14.73</v>
      </c>
      <c r="P35" s="203">
        <f>TabelaMatriz!$I$307</f>
        <v>26.939999999999998</v>
      </c>
      <c r="Q35" s="203">
        <v>0</v>
      </c>
      <c r="R35" s="203">
        <v>0</v>
      </c>
      <c r="S35" s="203">
        <v>0</v>
      </c>
      <c r="T35" s="203">
        <f>TabelaMatriz!$I$303</f>
        <v>21.36</v>
      </c>
      <c r="U35" s="254">
        <f>SUM(I35:T35)</f>
        <v>562.82000000000005</v>
      </c>
    </row>
    <row r="36" spans="2:21" s="201" customFormat="1" ht="12">
      <c r="B36" s="362"/>
      <c r="C36" s="363"/>
      <c r="D36" s="201" t="s">
        <v>411</v>
      </c>
      <c r="E36" s="363"/>
      <c r="F36" s="247">
        <f>TabelaMatriz!$I$148</f>
        <v>99.53</v>
      </c>
      <c r="G36" s="203"/>
      <c r="H36" s="203"/>
      <c r="I36" s="352">
        <f>SUM(F36:H36)</f>
        <v>99.53</v>
      </c>
      <c r="J36" s="203">
        <f>TRUNC(F36*2%,2)</f>
        <v>1.99</v>
      </c>
      <c r="K36" s="203">
        <f>TRUNC(I36*20%,2)</f>
        <v>19.899999999999999</v>
      </c>
      <c r="L36" s="203">
        <f>TRUNC(I36*5%,2)</f>
        <v>4.97</v>
      </c>
      <c r="M36" s="203">
        <f>L36</f>
        <v>4.97</v>
      </c>
      <c r="N36" s="203">
        <f>TRUNC(I36*4%,2)</f>
        <v>3.98</v>
      </c>
      <c r="O36" s="203">
        <v>3.98</v>
      </c>
      <c r="P36" s="203">
        <f>TabelaMatriz!$I$307</f>
        <v>26.939999999999998</v>
      </c>
      <c r="Q36" s="203"/>
      <c r="R36" s="203">
        <v>0</v>
      </c>
      <c r="S36" s="203">
        <v>0</v>
      </c>
      <c r="T36" s="203"/>
      <c r="U36" s="356">
        <f>SUM(I36:T36)</f>
        <v>166.25999999999996</v>
      </c>
    </row>
    <row r="37" spans="2:21" s="201" customFormat="1" ht="12">
      <c r="B37" s="366"/>
      <c r="C37" s="367"/>
      <c r="D37" s="368" t="s">
        <v>3</v>
      </c>
      <c r="E37" s="369"/>
      <c r="F37" s="354">
        <f t="shared" ref="F37:U37" si="9">F35+F36</f>
        <v>409.54999999999995</v>
      </c>
      <c r="G37" s="354">
        <f t="shared" si="9"/>
        <v>10.35</v>
      </c>
      <c r="H37" s="354">
        <f t="shared" si="9"/>
        <v>48</v>
      </c>
      <c r="I37" s="354">
        <f t="shared" si="9"/>
        <v>467.9</v>
      </c>
      <c r="J37" s="354">
        <f t="shared" si="9"/>
        <v>8.19</v>
      </c>
      <c r="K37" s="354">
        <f t="shared" si="9"/>
        <v>93.57</v>
      </c>
      <c r="L37" s="354">
        <f t="shared" si="9"/>
        <v>23.38</v>
      </c>
      <c r="M37" s="354">
        <f t="shared" si="9"/>
        <v>23.38</v>
      </c>
      <c r="N37" s="354">
        <f t="shared" si="9"/>
        <v>18.71</v>
      </c>
      <c r="O37" s="354">
        <f t="shared" si="9"/>
        <v>18.71</v>
      </c>
      <c r="P37" s="354">
        <f t="shared" si="9"/>
        <v>53.879999999999995</v>
      </c>
      <c r="Q37" s="354">
        <f t="shared" si="9"/>
        <v>0</v>
      </c>
      <c r="R37" s="354">
        <f t="shared" si="9"/>
        <v>0</v>
      </c>
      <c r="S37" s="355">
        <v>0</v>
      </c>
      <c r="T37" s="355">
        <f t="shared" si="9"/>
        <v>21.36</v>
      </c>
      <c r="U37" s="374">
        <f t="shared" si="9"/>
        <v>729.08</v>
      </c>
    </row>
    <row r="38" spans="2:21" s="201" customFormat="1" ht="12">
      <c r="B38" s="351">
        <f>B10</f>
        <v>30000.01</v>
      </c>
      <c r="C38" s="61">
        <f>C10</f>
        <v>45000</v>
      </c>
      <c r="D38" s="201" t="s">
        <v>410</v>
      </c>
      <c r="F38" s="247">
        <f>F10</f>
        <v>432.45</v>
      </c>
      <c r="G38" s="149">
        <f>+TabelaMatriz!$I$9</f>
        <v>10.35</v>
      </c>
      <c r="H38" s="149">
        <f>+TabelaMatriz!$I$10*4</f>
        <v>48</v>
      </c>
      <c r="I38" s="352">
        <f>SUM(F38:H38)</f>
        <v>490.8</v>
      </c>
      <c r="J38" s="203">
        <f>TRUNC(F38*2%,2)</f>
        <v>8.64</v>
      </c>
      <c r="K38" s="203">
        <f>TRUNC(I38*20%,2)</f>
        <v>98.16</v>
      </c>
      <c r="L38" s="203">
        <f>TRUNC(I38*5%,2)</f>
        <v>24.54</v>
      </c>
      <c r="M38" s="203">
        <f>L38</f>
        <v>24.54</v>
      </c>
      <c r="N38" s="203">
        <f>TRUNC(I38*4%,2)</f>
        <v>19.63</v>
      </c>
      <c r="O38" s="203">
        <v>19.63</v>
      </c>
      <c r="P38" s="203">
        <f>TabelaMatriz!$I$307</f>
        <v>26.939999999999998</v>
      </c>
      <c r="Q38" s="203">
        <v>0</v>
      </c>
      <c r="R38" s="203">
        <v>0</v>
      </c>
      <c r="S38" s="203">
        <v>0</v>
      </c>
      <c r="T38" s="203">
        <f>TabelaMatriz!$I$303</f>
        <v>21.36</v>
      </c>
      <c r="U38" s="254">
        <f>SUM(I38:T38)</f>
        <v>734.2399999999999</v>
      </c>
    </row>
    <row r="39" spans="2:21" s="201" customFormat="1" ht="12">
      <c r="B39" s="362"/>
      <c r="C39" s="363"/>
      <c r="D39" s="201" t="s">
        <v>411</v>
      </c>
      <c r="E39" s="363"/>
      <c r="F39" s="247">
        <f>TabelaMatriz!$I$148</f>
        <v>99.53</v>
      </c>
      <c r="G39" s="203"/>
      <c r="H39" s="203"/>
      <c r="I39" s="352">
        <f>SUM(F39:H39)</f>
        <v>99.53</v>
      </c>
      <c r="J39" s="203">
        <f>TRUNC(F39*2%,2)</f>
        <v>1.99</v>
      </c>
      <c r="K39" s="203">
        <f>TRUNC(I39*20%,2)</f>
        <v>19.899999999999999</v>
      </c>
      <c r="L39" s="203">
        <f>TRUNC(I39*5%,2)</f>
        <v>4.97</v>
      </c>
      <c r="M39" s="203">
        <f>L39</f>
        <v>4.97</v>
      </c>
      <c r="N39" s="203">
        <f>TRUNC(I39*4%,2)</f>
        <v>3.98</v>
      </c>
      <c r="O39" s="203">
        <v>3.98</v>
      </c>
      <c r="P39" s="203">
        <f>TabelaMatriz!$I$307</f>
        <v>26.939999999999998</v>
      </c>
      <c r="Q39" s="203"/>
      <c r="R39" s="203">
        <v>0</v>
      </c>
      <c r="S39" s="203">
        <v>0</v>
      </c>
      <c r="T39" s="203"/>
      <c r="U39" s="356">
        <f>SUM(I39:T39)</f>
        <v>166.25999999999996</v>
      </c>
    </row>
    <row r="40" spans="2:21" s="201" customFormat="1" ht="12">
      <c r="B40" s="366"/>
      <c r="C40" s="367"/>
      <c r="D40" s="368" t="s">
        <v>3</v>
      </c>
      <c r="E40" s="369"/>
      <c r="F40" s="354">
        <f t="shared" ref="F40:U40" si="10">F38+F39</f>
        <v>531.98</v>
      </c>
      <c r="G40" s="354">
        <f t="shared" si="10"/>
        <v>10.35</v>
      </c>
      <c r="H40" s="354">
        <f t="shared" si="10"/>
        <v>48</v>
      </c>
      <c r="I40" s="354">
        <f t="shared" si="10"/>
        <v>590.33000000000004</v>
      </c>
      <c r="J40" s="354">
        <f t="shared" si="10"/>
        <v>10.63</v>
      </c>
      <c r="K40" s="354">
        <f t="shared" si="10"/>
        <v>118.06</v>
      </c>
      <c r="L40" s="354">
        <f t="shared" si="10"/>
        <v>29.509999999999998</v>
      </c>
      <c r="M40" s="354">
        <f t="shared" si="10"/>
        <v>29.509999999999998</v>
      </c>
      <c r="N40" s="354">
        <f t="shared" si="10"/>
        <v>23.61</v>
      </c>
      <c r="O40" s="354">
        <f t="shared" si="10"/>
        <v>23.61</v>
      </c>
      <c r="P40" s="354">
        <f t="shared" si="10"/>
        <v>53.879999999999995</v>
      </c>
      <c r="Q40" s="354">
        <f t="shared" si="10"/>
        <v>0</v>
      </c>
      <c r="R40" s="354">
        <v>0</v>
      </c>
      <c r="S40" s="355">
        <f t="shared" si="10"/>
        <v>0</v>
      </c>
      <c r="T40" s="355">
        <f t="shared" si="10"/>
        <v>21.36</v>
      </c>
      <c r="U40" s="374">
        <f t="shared" si="10"/>
        <v>900.49999999999989</v>
      </c>
    </row>
    <row r="41" spans="2:21" s="201" customFormat="1" ht="12">
      <c r="B41" s="351">
        <f>B13</f>
        <v>45000.01</v>
      </c>
      <c r="C41" s="61">
        <f>C13</f>
        <v>60000</v>
      </c>
      <c r="D41" s="201" t="s">
        <v>410</v>
      </c>
      <c r="F41" s="247">
        <f>F13</f>
        <v>530.35</v>
      </c>
      <c r="G41" s="149">
        <f>+TabelaMatriz!$I$9</f>
        <v>10.35</v>
      </c>
      <c r="H41" s="149">
        <f>+TabelaMatriz!$I$10*4</f>
        <v>48</v>
      </c>
      <c r="I41" s="352">
        <f>SUM(F41:H41)</f>
        <v>588.70000000000005</v>
      </c>
      <c r="J41" s="203">
        <f>TRUNC(F41*2%,2)</f>
        <v>10.6</v>
      </c>
      <c r="K41" s="203">
        <f>TRUNC(I41*20%,2)</f>
        <v>117.74</v>
      </c>
      <c r="L41" s="203">
        <f>TRUNC(I41*5%,2)</f>
        <v>29.43</v>
      </c>
      <c r="M41" s="203">
        <f>L41</f>
        <v>29.43</v>
      </c>
      <c r="N41" s="203">
        <f>TRUNC(I41*4%,2)</f>
        <v>23.54</v>
      </c>
      <c r="O41" s="203">
        <v>23.54</v>
      </c>
      <c r="P41" s="203">
        <f>TabelaMatriz!$I$307</f>
        <v>26.939999999999998</v>
      </c>
      <c r="Q41" s="203">
        <v>0</v>
      </c>
      <c r="R41" s="203">
        <v>0</v>
      </c>
      <c r="S41" s="203">
        <v>0</v>
      </c>
      <c r="T41" s="203">
        <f>TabelaMatriz!$I$303</f>
        <v>21.36</v>
      </c>
      <c r="U41" s="254">
        <f>SUM(I41:T41)</f>
        <v>871.27999999999986</v>
      </c>
    </row>
    <row r="42" spans="2:21" s="201" customFormat="1" ht="12">
      <c r="B42" s="362"/>
      <c r="C42" s="363"/>
      <c r="D42" s="201" t="s">
        <v>411</v>
      </c>
      <c r="E42" s="363"/>
      <c r="F42" s="247">
        <f>TabelaMatriz!$I$148</f>
        <v>99.53</v>
      </c>
      <c r="G42" s="203"/>
      <c r="H42" s="203"/>
      <c r="I42" s="352">
        <f>SUM(F42:H42)</f>
        <v>99.53</v>
      </c>
      <c r="J42" s="203">
        <f>TRUNC(F42*2%,2)</f>
        <v>1.99</v>
      </c>
      <c r="K42" s="203">
        <f>TRUNC(I42*20%,2)</f>
        <v>19.899999999999999</v>
      </c>
      <c r="L42" s="203">
        <f>TRUNC(I42*5%,2)</f>
        <v>4.97</v>
      </c>
      <c r="M42" s="203">
        <f>L42</f>
        <v>4.97</v>
      </c>
      <c r="N42" s="203">
        <f>TRUNC(I42*4%,2)</f>
        <v>3.98</v>
      </c>
      <c r="O42" s="203">
        <v>3.98</v>
      </c>
      <c r="P42" s="203">
        <f>TabelaMatriz!$I$307</f>
        <v>26.939999999999998</v>
      </c>
      <c r="Q42" s="203"/>
      <c r="R42" s="203">
        <v>0</v>
      </c>
      <c r="S42" s="203">
        <v>0</v>
      </c>
      <c r="T42" s="203"/>
      <c r="U42" s="356">
        <f>SUM(I42:T42)</f>
        <v>166.25999999999996</v>
      </c>
    </row>
    <row r="43" spans="2:21" s="201" customFormat="1" ht="12">
      <c r="B43" s="366"/>
      <c r="C43" s="367"/>
      <c r="D43" s="368" t="s">
        <v>3</v>
      </c>
      <c r="E43" s="369"/>
      <c r="F43" s="354">
        <f t="shared" ref="F43:U43" si="11">F41+F42</f>
        <v>629.88</v>
      </c>
      <c r="G43" s="354">
        <f t="shared" si="11"/>
        <v>10.35</v>
      </c>
      <c r="H43" s="354">
        <f t="shared" si="11"/>
        <v>48</v>
      </c>
      <c r="I43" s="354">
        <f t="shared" si="11"/>
        <v>688.23</v>
      </c>
      <c r="J43" s="354">
        <f t="shared" si="11"/>
        <v>12.59</v>
      </c>
      <c r="K43" s="354">
        <f t="shared" si="11"/>
        <v>137.63999999999999</v>
      </c>
      <c r="L43" s="354">
        <f t="shared" si="11"/>
        <v>34.4</v>
      </c>
      <c r="M43" s="354">
        <f t="shared" si="11"/>
        <v>34.4</v>
      </c>
      <c r="N43" s="354">
        <f t="shared" si="11"/>
        <v>27.52</v>
      </c>
      <c r="O43" s="354">
        <f t="shared" si="11"/>
        <v>27.52</v>
      </c>
      <c r="P43" s="354">
        <f t="shared" si="11"/>
        <v>53.879999999999995</v>
      </c>
      <c r="Q43" s="354">
        <f t="shared" si="11"/>
        <v>0</v>
      </c>
      <c r="R43" s="354">
        <f t="shared" si="11"/>
        <v>0</v>
      </c>
      <c r="S43" s="355">
        <f t="shared" si="11"/>
        <v>0</v>
      </c>
      <c r="T43" s="355">
        <f t="shared" si="11"/>
        <v>21.36</v>
      </c>
      <c r="U43" s="374">
        <f t="shared" si="11"/>
        <v>1037.5399999999997</v>
      </c>
    </row>
    <row r="44" spans="2:21" s="201" customFormat="1" ht="12">
      <c r="B44" s="351">
        <f>B16</f>
        <v>60000.01</v>
      </c>
      <c r="C44" s="61">
        <f>C16</f>
        <v>80000</v>
      </c>
      <c r="D44" s="201" t="s">
        <v>410</v>
      </c>
      <c r="F44" s="247">
        <f>F16</f>
        <v>940</v>
      </c>
      <c r="G44" s="149">
        <f>+TabelaMatriz!$I$9</f>
        <v>10.35</v>
      </c>
      <c r="H44" s="149">
        <f>+TabelaMatriz!$I$10*4</f>
        <v>48</v>
      </c>
      <c r="I44" s="352">
        <f>SUM(F44:H44)</f>
        <v>998.35</v>
      </c>
      <c r="J44" s="203">
        <f>TRUNC(F44*2%,2)</f>
        <v>18.8</v>
      </c>
      <c r="K44" s="203">
        <f>TRUNC(I44*20%,2)</f>
        <v>199.67</v>
      </c>
      <c r="L44" s="203">
        <f>TRUNC(I44*5%,2)</f>
        <v>49.91</v>
      </c>
      <c r="M44" s="203">
        <f>L44</f>
        <v>49.91</v>
      </c>
      <c r="N44" s="203">
        <f>TRUNC(I44*4%,2)</f>
        <v>39.93</v>
      </c>
      <c r="O44" s="203">
        <v>39.93</v>
      </c>
      <c r="P44" s="203">
        <f>TabelaMatriz!$I$307</f>
        <v>26.939999999999998</v>
      </c>
      <c r="Q44" s="203">
        <v>0</v>
      </c>
      <c r="R44" s="203">
        <v>0</v>
      </c>
      <c r="S44" s="203">
        <v>0</v>
      </c>
      <c r="T44" s="203">
        <f>TabelaMatriz!$I$303</f>
        <v>21.36</v>
      </c>
      <c r="U44" s="254">
        <f>SUM(I44:T44)</f>
        <v>1444.8000000000002</v>
      </c>
    </row>
    <row r="45" spans="2:21" s="201" customFormat="1" ht="12">
      <c r="B45" s="362"/>
      <c r="C45" s="363"/>
      <c r="D45" s="201" t="s">
        <v>411</v>
      </c>
      <c r="E45" s="363"/>
      <c r="F45" s="247">
        <f>TabelaMatriz!$I$148</f>
        <v>99.53</v>
      </c>
      <c r="G45" s="203"/>
      <c r="H45" s="203"/>
      <c r="I45" s="352">
        <f>SUM(F45:H45)</f>
        <v>99.53</v>
      </c>
      <c r="J45" s="203">
        <f>TRUNC(F45*2%,2)</f>
        <v>1.99</v>
      </c>
      <c r="K45" s="203">
        <f>TRUNC(I45*20%,2)</f>
        <v>19.899999999999999</v>
      </c>
      <c r="L45" s="203">
        <f>TRUNC(I45*5%,2)</f>
        <v>4.97</v>
      </c>
      <c r="M45" s="203">
        <f>L45</f>
        <v>4.97</v>
      </c>
      <c r="N45" s="203">
        <f>TRUNC(I45*4%,2)</f>
        <v>3.98</v>
      </c>
      <c r="O45" s="203">
        <v>3.98</v>
      </c>
      <c r="P45" s="203">
        <f>TabelaMatriz!$I$307</f>
        <v>26.939999999999998</v>
      </c>
      <c r="Q45" s="203"/>
      <c r="R45" s="203">
        <v>0</v>
      </c>
      <c r="S45" s="203">
        <v>0</v>
      </c>
      <c r="T45" s="203"/>
      <c r="U45" s="356">
        <f>SUM(I45:T45)</f>
        <v>166.25999999999996</v>
      </c>
    </row>
    <row r="46" spans="2:21" s="201" customFormat="1" ht="12">
      <c r="B46" s="366"/>
      <c r="C46" s="367"/>
      <c r="D46" s="368" t="s">
        <v>3</v>
      </c>
      <c r="E46" s="369"/>
      <c r="F46" s="354">
        <f t="shared" ref="F46:U46" si="12">F44+F45</f>
        <v>1039.53</v>
      </c>
      <c r="G46" s="354">
        <f t="shared" si="12"/>
        <v>10.35</v>
      </c>
      <c r="H46" s="354">
        <f t="shared" si="12"/>
        <v>48</v>
      </c>
      <c r="I46" s="354">
        <f t="shared" si="12"/>
        <v>1097.8800000000001</v>
      </c>
      <c r="J46" s="354">
        <f t="shared" si="12"/>
        <v>20.79</v>
      </c>
      <c r="K46" s="354">
        <f t="shared" si="12"/>
        <v>219.57</v>
      </c>
      <c r="L46" s="354">
        <f t="shared" si="12"/>
        <v>54.879999999999995</v>
      </c>
      <c r="M46" s="354">
        <f t="shared" si="12"/>
        <v>54.879999999999995</v>
      </c>
      <c r="N46" s="354">
        <f t="shared" si="12"/>
        <v>43.91</v>
      </c>
      <c r="O46" s="354">
        <f t="shared" si="12"/>
        <v>43.91</v>
      </c>
      <c r="P46" s="354">
        <f t="shared" si="12"/>
        <v>53.879999999999995</v>
      </c>
      <c r="Q46" s="354">
        <f t="shared" si="12"/>
        <v>0</v>
      </c>
      <c r="R46" s="354">
        <f t="shared" si="12"/>
        <v>0</v>
      </c>
      <c r="S46" s="355">
        <f t="shared" si="12"/>
        <v>0</v>
      </c>
      <c r="T46" s="355">
        <f t="shared" si="12"/>
        <v>21.36</v>
      </c>
      <c r="U46" s="374">
        <f t="shared" si="12"/>
        <v>1611.0600000000002</v>
      </c>
    </row>
    <row r="47" spans="2:21" s="201" customFormat="1" ht="12">
      <c r="B47" s="351">
        <f>B19</f>
        <v>80000.009999999995</v>
      </c>
      <c r="C47" s="61">
        <f>C19</f>
        <v>100000</v>
      </c>
      <c r="D47" s="201" t="s">
        <v>410</v>
      </c>
      <c r="E47" s="363"/>
      <c r="F47" s="247">
        <f>F19</f>
        <v>1109.73</v>
      </c>
      <c r="G47" s="149">
        <f>+TabelaMatriz!$I$9</f>
        <v>10.35</v>
      </c>
      <c r="H47" s="149">
        <f>+TabelaMatriz!$I$10*4</f>
        <v>48</v>
      </c>
      <c r="I47" s="352">
        <f>SUM(F47:H47)</f>
        <v>1168.08</v>
      </c>
      <c r="J47" s="203">
        <f>TRUNC(F47*2%,2)</f>
        <v>22.19</v>
      </c>
      <c r="K47" s="203">
        <f>TRUNC(I47*20%,2)</f>
        <v>233.61</v>
      </c>
      <c r="L47" s="203">
        <f>TRUNC(I47*5%,2)</f>
        <v>58.4</v>
      </c>
      <c r="M47" s="203">
        <f>L47</f>
        <v>58.4</v>
      </c>
      <c r="N47" s="203">
        <f>TRUNC(I47*4%,2)</f>
        <v>46.72</v>
      </c>
      <c r="O47" s="203">
        <v>46.72</v>
      </c>
      <c r="P47" s="203">
        <f>TabelaMatriz!$I$307</f>
        <v>26.939999999999998</v>
      </c>
      <c r="Q47" s="203">
        <v>0</v>
      </c>
      <c r="R47" s="203">
        <v>0</v>
      </c>
      <c r="S47" s="203">
        <v>0</v>
      </c>
      <c r="T47" s="203">
        <f>TabelaMatriz!$I$303</f>
        <v>21.36</v>
      </c>
      <c r="U47" s="254">
        <f>SUM(I47:T47)</f>
        <v>1682.4200000000003</v>
      </c>
    </row>
    <row r="48" spans="2:21" s="201" customFormat="1" ht="12">
      <c r="B48" s="362"/>
      <c r="C48" s="363"/>
      <c r="D48" s="201" t="s">
        <v>411</v>
      </c>
      <c r="E48" s="363"/>
      <c r="F48" s="247">
        <f>TabelaMatriz!$I$148</f>
        <v>99.53</v>
      </c>
      <c r="G48" s="203"/>
      <c r="H48" s="203"/>
      <c r="I48" s="352">
        <f>SUM(F48:H48)</f>
        <v>99.53</v>
      </c>
      <c r="J48" s="203">
        <f>TRUNC(F48*2%,2)</f>
        <v>1.99</v>
      </c>
      <c r="K48" s="203">
        <f>TRUNC(I48*20%,2)</f>
        <v>19.899999999999999</v>
      </c>
      <c r="L48" s="203">
        <f>TRUNC(I48*5%,2)</f>
        <v>4.97</v>
      </c>
      <c r="M48" s="203">
        <f>L48</f>
        <v>4.97</v>
      </c>
      <c r="N48" s="203">
        <f>TRUNC(I48*4%,2)</f>
        <v>3.98</v>
      </c>
      <c r="O48" s="203">
        <v>3.98</v>
      </c>
      <c r="P48" s="203">
        <f>TabelaMatriz!$I$307</f>
        <v>26.939999999999998</v>
      </c>
      <c r="Q48" s="203"/>
      <c r="R48" s="203">
        <v>0</v>
      </c>
      <c r="S48" s="203">
        <v>0</v>
      </c>
      <c r="T48" s="203"/>
      <c r="U48" s="356">
        <f>SUM(I48:T48)</f>
        <v>166.25999999999996</v>
      </c>
    </row>
    <row r="49" spans="2:21" s="201" customFormat="1" ht="12">
      <c r="B49" s="366"/>
      <c r="C49" s="367"/>
      <c r="D49" s="368" t="s">
        <v>3</v>
      </c>
      <c r="E49" s="369"/>
      <c r="F49" s="354">
        <f t="shared" ref="F49:U49" si="13">F47+F48</f>
        <v>1209.26</v>
      </c>
      <c r="G49" s="354">
        <f t="shared" si="13"/>
        <v>10.35</v>
      </c>
      <c r="H49" s="354">
        <f t="shared" si="13"/>
        <v>48</v>
      </c>
      <c r="I49" s="354">
        <f t="shared" si="13"/>
        <v>1267.6099999999999</v>
      </c>
      <c r="J49" s="354">
        <f t="shared" si="13"/>
        <v>24.18</v>
      </c>
      <c r="K49" s="354">
        <f t="shared" si="13"/>
        <v>253.51000000000002</v>
      </c>
      <c r="L49" s="354">
        <f t="shared" si="13"/>
        <v>63.37</v>
      </c>
      <c r="M49" s="354">
        <f t="shared" si="13"/>
        <v>63.37</v>
      </c>
      <c r="N49" s="354">
        <f t="shared" si="13"/>
        <v>50.699999999999996</v>
      </c>
      <c r="O49" s="354">
        <f t="shared" si="13"/>
        <v>50.699999999999996</v>
      </c>
      <c r="P49" s="354">
        <f t="shared" si="13"/>
        <v>53.879999999999995</v>
      </c>
      <c r="Q49" s="354">
        <f t="shared" si="13"/>
        <v>0</v>
      </c>
      <c r="R49" s="354">
        <f t="shared" si="13"/>
        <v>0</v>
      </c>
      <c r="S49" s="355">
        <f t="shared" si="13"/>
        <v>0</v>
      </c>
      <c r="T49" s="355">
        <f t="shared" si="13"/>
        <v>21.36</v>
      </c>
      <c r="U49" s="374">
        <f t="shared" si="13"/>
        <v>1848.6800000000003</v>
      </c>
    </row>
    <row r="50" spans="2:21" s="201" customFormat="1" ht="12">
      <c r="B50" s="351">
        <f>B22</f>
        <v>100000.01</v>
      </c>
      <c r="C50" s="61">
        <f>C22</f>
        <v>200000</v>
      </c>
      <c r="D50" s="201" t="s">
        <v>410</v>
      </c>
      <c r="E50" s="363"/>
      <c r="F50" s="247">
        <f>F22</f>
        <v>1501.39</v>
      </c>
      <c r="G50" s="149">
        <f>+TabelaMatriz!$I$9</f>
        <v>10.35</v>
      </c>
      <c r="H50" s="149">
        <f>+TabelaMatriz!$I$10*4</f>
        <v>48</v>
      </c>
      <c r="I50" s="352">
        <f>SUM(F50:H50)</f>
        <v>1559.74</v>
      </c>
      <c r="J50" s="203">
        <f>TRUNC(F50*2%,2)</f>
        <v>30.02</v>
      </c>
      <c r="K50" s="203">
        <f>TRUNC(I50*20%,2)</f>
        <v>311.94</v>
      </c>
      <c r="L50" s="203">
        <f>TRUNC(I50*5%,2)</f>
        <v>77.98</v>
      </c>
      <c r="M50" s="203">
        <f>L50</f>
        <v>77.98</v>
      </c>
      <c r="N50" s="203">
        <f>TRUNC(I50*4%,2)</f>
        <v>62.38</v>
      </c>
      <c r="O50" s="203">
        <v>62.38</v>
      </c>
      <c r="P50" s="203">
        <f>TabelaMatriz!$I$307</f>
        <v>26.939999999999998</v>
      </c>
      <c r="Q50" s="203">
        <v>0</v>
      </c>
      <c r="R50" s="203">
        <v>0</v>
      </c>
      <c r="S50" s="203">
        <v>0</v>
      </c>
      <c r="T50" s="203">
        <f>TabelaMatriz!$I$303</f>
        <v>21.36</v>
      </c>
      <c r="U50" s="254">
        <f>SUM(I50:T50)</f>
        <v>2230.7200000000003</v>
      </c>
    </row>
    <row r="51" spans="2:21" s="201" customFormat="1" ht="12">
      <c r="B51" s="362"/>
      <c r="C51" s="363"/>
      <c r="D51" s="201" t="s">
        <v>411</v>
      </c>
      <c r="E51" s="363"/>
      <c r="F51" s="247">
        <f>TabelaMatriz!$I$148</f>
        <v>99.53</v>
      </c>
      <c r="G51" s="203"/>
      <c r="H51" s="203"/>
      <c r="I51" s="352">
        <f>SUM(F51:H51)</f>
        <v>99.53</v>
      </c>
      <c r="J51" s="203">
        <f>TRUNC(F51*2%,2)</f>
        <v>1.99</v>
      </c>
      <c r="K51" s="203">
        <f>TRUNC(I51*20%,2)</f>
        <v>19.899999999999999</v>
      </c>
      <c r="L51" s="203">
        <f>TRUNC(I51*5%,2)</f>
        <v>4.97</v>
      </c>
      <c r="M51" s="203">
        <f>L51</f>
        <v>4.97</v>
      </c>
      <c r="N51" s="203">
        <f>TRUNC(I51*4%,2)</f>
        <v>3.98</v>
      </c>
      <c r="O51" s="203">
        <v>3.98</v>
      </c>
      <c r="P51" s="203">
        <f>TabelaMatriz!$I$307</f>
        <v>26.939999999999998</v>
      </c>
      <c r="Q51" s="203"/>
      <c r="R51" s="203">
        <v>0</v>
      </c>
      <c r="S51" s="203">
        <v>0</v>
      </c>
      <c r="T51" s="203"/>
      <c r="U51" s="356">
        <f>SUM(I51:T51)</f>
        <v>166.25999999999996</v>
      </c>
    </row>
    <row r="52" spans="2:21" s="201" customFormat="1" ht="12">
      <c r="B52" s="366"/>
      <c r="C52" s="367"/>
      <c r="D52" s="368" t="s">
        <v>3</v>
      </c>
      <c r="E52" s="369"/>
      <c r="F52" s="354">
        <f t="shared" ref="F52:U52" si="14">F50+F51</f>
        <v>1600.92</v>
      </c>
      <c r="G52" s="354">
        <f t="shared" si="14"/>
        <v>10.35</v>
      </c>
      <c r="H52" s="354">
        <f t="shared" si="14"/>
        <v>48</v>
      </c>
      <c r="I52" s="354">
        <f t="shared" si="14"/>
        <v>1659.27</v>
      </c>
      <c r="J52" s="354">
        <f t="shared" si="14"/>
        <v>32.01</v>
      </c>
      <c r="K52" s="354">
        <f t="shared" si="14"/>
        <v>331.84</v>
      </c>
      <c r="L52" s="354">
        <f t="shared" si="14"/>
        <v>82.95</v>
      </c>
      <c r="M52" s="354">
        <f t="shared" si="14"/>
        <v>82.95</v>
      </c>
      <c r="N52" s="354">
        <f t="shared" si="14"/>
        <v>66.36</v>
      </c>
      <c r="O52" s="354">
        <f t="shared" si="14"/>
        <v>66.36</v>
      </c>
      <c r="P52" s="354">
        <f t="shared" si="14"/>
        <v>53.879999999999995</v>
      </c>
      <c r="Q52" s="354">
        <f t="shared" si="14"/>
        <v>0</v>
      </c>
      <c r="R52" s="354">
        <v>0</v>
      </c>
      <c r="S52" s="355">
        <f t="shared" si="14"/>
        <v>0</v>
      </c>
      <c r="T52" s="355">
        <f t="shared" si="14"/>
        <v>21.36</v>
      </c>
      <c r="U52" s="374">
        <f t="shared" si="14"/>
        <v>2396.98</v>
      </c>
    </row>
    <row r="53" spans="2:21">
      <c r="B53" s="365">
        <f>B25</f>
        <v>200000.01</v>
      </c>
      <c r="C53" s="61">
        <f>C25</f>
        <v>400000</v>
      </c>
      <c r="D53" s="201" t="s">
        <v>410</v>
      </c>
      <c r="E53" s="363"/>
      <c r="F53" s="247">
        <f>F25</f>
        <v>1611.02</v>
      </c>
      <c r="G53" s="149">
        <f>+TabelaMatriz!$I$9</f>
        <v>10.35</v>
      </c>
      <c r="H53" s="149">
        <f>+TabelaMatriz!$I$10*4</f>
        <v>48</v>
      </c>
      <c r="I53" s="352">
        <f>SUM(F53:H53)</f>
        <v>1669.37</v>
      </c>
      <c r="J53" s="203">
        <f>TRUNC(F53*2%,2)</f>
        <v>32.22</v>
      </c>
      <c r="K53" s="203">
        <f>TRUNC(I53*20%,2)</f>
        <v>333.87</v>
      </c>
      <c r="L53" s="203">
        <f>TRUNC(I53*5%,2)</f>
        <v>83.46</v>
      </c>
      <c r="M53" s="203">
        <f>L53</f>
        <v>83.46</v>
      </c>
      <c r="N53" s="203">
        <f>TRUNC(I53*4%,2)</f>
        <v>66.77</v>
      </c>
      <c r="O53" s="203">
        <v>66.77</v>
      </c>
      <c r="P53" s="203">
        <f>TabelaMatriz!$I$307</f>
        <v>26.939999999999998</v>
      </c>
      <c r="Q53" s="203">
        <v>0</v>
      </c>
      <c r="R53" s="203">
        <v>0</v>
      </c>
      <c r="S53" s="203">
        <v>0</v>
      </c>
      <c r="T53" s="203">
        <f>TabelaMatriz!$I$303</f>
        <v>21.36</v>
      </c>
      <c r="U53" s="254">
        <f>SUM(I53:T53)</f>
        <v>2384.2200000000003</v>
      </c>
    </row>
    <row r="54" spans="2:21">
      <c r="B54" s="362"/>
      <c r="C54" s="363"/>
      <c r="D54" s="201" t="s">
        <v>411</v>
      </c>
      <c r="E54" s="363"/>
      <c r="F54" s="247">
        <f>TabelaMatriz!$I$148</f>
        <v>99.53</v>
      </c>
      <c r="G54" s="203"/>
      <c r="H54" s="203"/>
      <c r="I54" s="352">
        <f>SUM(F54:H54)</f>
        <v>99.53</v>
      </c>
      <c r="J54" s="203">
        <f>TRUNC(F54*2%,2)</f>
        <v>1.99</v>
      </c>
      <c r="K54" s="203">
        <f>TRUNC(I54*20%,2)</f>
        <v>19.899999999999999</v>
      </c>
      <c r="L54" s="203">
        <f>TRUNC(I54*5%,2)</f>
        <v>4.97</v>
      </c>
      <c r="M54" s="203">
        <f>L54</f>
        <v>4.97</v>
      </c>
      <c r="N54" s="203">
        <f>TRUNC(I54*4%,2)</f>
        <v>3.98</v>
      </c>
      <c r="O54" s="203">
        <v>3.98</v>
      </c>
      <c r="P54" s="203">
        <f>TabelaMatriz!$I$307</f>
        <v>26.939999999999998</v>
      </c>
      <c r="Q54" s="203"/>
      <c r="R54" s="203">
        <v>0</v>
      </c>
      <c r="S54" s="203">
        <v>0</v>
      </c>
      <c r="T54" s="203"/>
      <c r="U54" s="356">
        <f>SUM(I54:T54)</f>
        <v>166.25999999999996</v>
      </c>
    </row>
    <row r="55" spans="2:21">
      <c r="B55" s="366"/>
      <c r="C55" s="367"/>
      <c r="D55" s="368" t="s">
        <v>3</v>
      </c>
      <c r="E55" s="369"/>
      <c r="F55" s="354">
        <f t="shared" ref="F55:U55" si="15">F53+F54</f>
        <v>1710.55</v>
      </c>
      <c r="G55" s="354">
        <f t="shared" si="15"/>
        <v>10.35</v>
      </c>
      <c r="H55" s="354">
        <f t="shared" si="15"/>
        <v>48</v>
      </c>
      <c r="I55" s="354">
        <f t="shared" si="15"/>
        <v>1768.8999999999999</v>
      </c>
      <c r="J55" s="354">
        <f t="shared" si="15"/>
        <v>34.21</v>
      </c>
      <c r="K55" s="354">
        <f t="shared" si="15"/>
        <v>353.77</v>
      </c>
      <c r="L55" s="354">
        <f t="shared" si="15"/>
        <v>88.429999999999993</v>
      </c>
      <c r="M55" s="354">
        <f t="shared" si="15"/>
        <v>88.429999999999993</v>
      </c>
      <c r="N55" s="354">
        <f t="shared" si="15"/>
        <v>70.75</v>
      </c>
      <c r="O55" s="354">
        <f t="shared" si="15"/>
        <v>70.75</v>
      </c>
      <c r="P55" s="354">
        <f t="shared" si="15"/>
        <v>53.879999999999995</v>
      </c>
      <c r="Q55" s="354">
        <f t="shared" si="15"/>
        <v>0</v>
      </c>
      <c r="R55" s="354">
        <f t="shared" si="15"/>
        <v>0</v>
      </c>
      <c r="S55" s="355">
        <f t="shared" si="15"/>
        <v>0</v>
      </c>
      <c r="T55" s="355">
        <f t="shared" si="15"/>
        <v>21.36</v>
      </c>
      <c r="U55" s="374">
        <f t="shared" si="15"/>
        <v>2550.48</v>
      </c>
    </row>
    <row r="56" spans="2:21" ht="13.5" thickBot="1">
      <c r="B56" s="785" t="s">
        <v>502</v>
      </c>
      <c r="C56" s="786"/>
      <c r="D56" s="786"/>
      <c r="E56" s="786"/>
      <c r="F56" s="375">
        <f>F28</f>
        <v>144.75</v>
      </c>
      <c r="G56" s="135"/>
      <c r="H56" s="135"/>
      <c r="I56" s="198">
        <f>SUM(F56:H56)</f>
        <v>144.75</v>
      </c>
      <c r="J56" s="135">
        <f>TRUNC(F56*2%,2)</f>
        <v>2.89</v>
      </c>
      <c r="K56" s="135">
        <f>TRUNC(I56*20%,2)</f>
        <v>28.95</v>
      </c>
      <c r="L56" s="135">
        <f>TRUNC(I56*5%,2)</f>
        <v>7.23</v>
      </c>
      <c r="M56" s="135">
        <f>L56</f>
        <v>7.23</v>
      </c>
      <c r="N56" s="135">
        <f>TRUNC(I56*4%,2)</f>
        <v>5.79</v>
      </c>
      <c r="O56" s="444">
        <v>5.79</v>
      </c>
      <c r="P56" s="135"/>
      <c r="Q56" s="135"/>
      <c r="R56" s="135"/>
      <c r="S56" s="135"/>
      <c r="T56" s="376"/>
      <c r="U56" s="377">
        <f>SUM(I56:T56)</f>
        <v>202.62999999999994</v>
      </c>
    </row>
  </sheetData>
  <mergeCells count="14">
    <mergeCell ref="B1:E1"/>
    <mergeCell ref="F1:U1"/>
    <mergeCell ref="B2:E2"/>
    <mergeCell ref="F2:F3"/>
    <mergeCell ref="I2:I3"/>
    <mergeCell ref="O2:O3"/>
    <mergeCell ref="U2:U3"/>
    <mergeCell ref="B56:E56"/>
    <mergeCell ref="P2:Q2"/>
    <mergeCell ref="B30:E30"/>
    <mergeCell ref="T2:T3"/>
    <mergeCell ref="B28:E28"/>
    <mergeCell ref="F31:F32"/>
    <mergeCell ref="F28:F29"/>
  </mergeCells>
  <pageMargins left="0.19685039370078741" right="0.19685039370078741" top="0.19685039370078741" bottom="0.19685039370078741" header="0" footer="0.59055118110236227"/>
  <pageSetup paperSize="9" scale="80" orientation="landscape" r:id="rId1"/>
  <headerFooter alignWithMargins="0"/>
  <ignoredErrors>
    <ignoredError sqref="U34 P35:Q35 P9:Q9 P12:Q12 P15:S15 P18:S18 P21:S21 P24:S24 P7:Q7 P25:Q25 T24:U24 P22:Q22 T21:U21 P19:Q19 T18:U18 P16:Q16 T15:U15 P13:Q13 T12:U12 P10:Q10 T9:U9 U37:U54 I42 I41 P40:Q40 I38 P38:Q38 P44:Q44 I43 P43:S43 Q42 P41 J43:N43 I17:N17 Q17 I8:N8 T8:U8 P27:U27 I26:N26 Q26 I23:N23 Q23 I20:N20 Q20 I14:N14 Q14 I11:N11 Q11 P37:R37 I36:N36 I55:O55 I39:N39 Q39 P46:S46 I45:N45 Q45 P49:S49 I48:N48 Q48 P53:Q53 I51:N51 Q51 I54:N54 Q54 I52:N53 I49:N50 I46:N47 I37:N37 I27:N27 I44:N44 K38:N38 I40:N40 I10:N10 I13:N13 I16:N16 I19:N19 I22:N22 I25:N25 I6:N7 I24:N24 I21:N21 I18:N18 I15:N15 I12:N12 I9:N9 I34:N35 O34 O6 P6:Q6 T6:U6 T7:U7 S9 T10:U10 T11:U11 S12 T13:U13 T14:U14 T16:U16 T17:U17 T19:U19 T20:U20 T22:U22 T23:U23 T25:U25 T26:U26 P34:Q34 S40 P47:Q47 P50:Q50 P52:Q52 S52 O9 O12 O15 O18 O21 O24 O27 O37 O40 O43 O46 O49 O52" formula="1"/>
  </ignoredErrors>
</worksheet>
</file>

<file path=xl/worksheets/sheet6.xml><?xml version="1.0" encoding="utf-8"?>
<worksheet xmlns="http://schemas.openxmlformats.org/spreadsheetml/2006/main" xmlns:r="http://schemas.openxmlformats.org/officeDocument/2006/relationships">
  <sheetPr codeName="Plan5">
    <tabColor indexed="10"/>
  </sheetPr>
  <dimension ref="A1:O58"/>
  <sheetViews>
    <sheetView showGridLines="0" tabSelected="1" topLeftCell="A24" zoomScale="75" zoomScaleNormal="75" workbookViewId="0">
      <selection activeCell="O47" sqref="O47"/>
    </sheetView>
  </sheetViews>
  <sheetFormatPr defaultRowHeight="12.75"/>
  <cols>
    <col min="1" max="2" width="12.140625" customWidth="1"/>
    <col min="3" max="3" width="3.42578125" style="2" customWidth="1"/>
    <col min="4" max="4" width="23" customWidth="1"/>
    <col min="5" max="5" width="15.5703125" style="2" customWidth="1"/>
    <col min="6" max="6" width="10" customWidth="1"/>
    <col min="7" max="7" width="12" style="2" customWidth="1"/>
    <col min="8" max="8" width="10.7109375" style="2" customWidth="1"/>
    <col min="9" max="9" width="12.42578125" style="2" customWidth="1"/>
    <col min="10" max="10" width="9.140625" style="2"/>
    <col min="11" max="11" width="12.7109375" style="2" customWidth="1"/>
    <col min="12" max="12" width="9.85546875" style="2" customWidth="1"/>
    <col min="13" max="13" width="13.85546875" style="2" customWidth="1"/>
    <col min="14" max="14" width="10.140625" style="2" customWidth="1"/>
    <col min="15" max="15" width="12.42578125" style="2" customWidth="1"/>
  </cols>
  <sheetData>
    <row r="1" spans="1:15" ht="27.75" customHeight="1">
      <c r="A1" s="809" t="str">
        <f>TabelaMatriz!B1</f>
        <v>PORTARIA n.º 3210/2017</v>
      </c>
      <c r="B1" s="810"/>
      <c r="C1" s="810"/>
      <c r="D1" s="810"/>
      <c r="E1" s="810"/>
      <c r="F1" s="810"/>
      <c r="G1" s="811"/>
      <c r="H1" s="812" t="s">
        <v>233</v>
      </c>
      <c r="I1" s="813"/>
      <c r="J1" s="813"/>
      <c r="K1" s="813"/>
      <c r="L1" s="813"/>
      <c r="M1" s="813"/>
      <c r="N1" s="813"/>
      <c r="O1" s="814"/>
    </row>
    <row r="2" spans="1:15" ht="28.5" customHeight="1">
      <c r="C2" s="3"/>
      <c r="D2" s="3"/>
      <c r="E2" s="3"/>
      <c r="F2" s="3"/>
      <c r="G2" s="3"/>
      <c r="H2" s="3"/>
      <c r="I2" s="3"/>
      <c r="J2" s="3"/>
      <c r="K2" s="3"/>
      <c r="L2" s="3"/>
      <c r="M2" s="3"/>
      <c r="N2" s="3"/>
      <c r="O2" s="3"/>
    </row>
    <row r="3" spans="1:15" ht="16.5" customHeight="1">
      <c r="A3" s="815" t="s">
        <v>29</v>
      </c>
      <c r="B3" s="763"/>
      <c r="C3" s="818" t="s">
        <v>179</v>
      </c>
      <c r="D3" s="818"/>
      <c r="E3" s="567" t="s">
        <v>33</v>
      </c>
      <c r="F3" s="816" t="s">
        <v>4</v>
      </c>
      <c r="G3" s="573" t="s">
        <v>180</v>
      </c>
      <c r="H3" s="567" t="s">
        <v>181</v>
      </c>
      <c r="I3" s="567" t="s">
        <v>424</v>
      </c>
      <c r="J3" s="567" t="s">
        <v>182</v>
      </c>
      <c r="K3" s="567" t="s">
        <v>425</v>
      </c>
      <c r="L3" s="567" t="s">
        <v>488</v>
      </c>
      <c r="M3" s="567" t="s">
        <v>183</v>
      </c>
      <c r="N3" s="567" t="s">
        <v>184</v>
      </c>
      <c r="O3" s="816" t="s">
        <v>3</v>
      </c>
    </row>
    <row r="4" spans="1:15" s="79" customFormat="1" ht="24" customHeight="1">
      <c r="A4" s="91" t="s">
        <v>219</v>
      </c>
      <c r="B4" s="91" t="s">
        <v>2</v>
      </c>
      <c r="C4" s="818"/>
      <c r="D4" s="818"/>
      <c r="E4" s="568"/>
      <c r="F4" s="817"/>
      <c r="G4" s="573"/>
      <c r="H4" s="568"/>
      <c r="I4" s="568"/>
      <c r="J4" s="568"/>
      <c r="K4" s="568"/>
      <c r="L4" s="568"/>
      <c r="M4" s="568"/>
      <c r="N4" s="568"/>
      <c r="O4" s="817"/>
    </row>
    <row r="5" spans="1:15" ht="18" customHeight="1">
      <c r="A5" s="49">
        <v>4049</v>
      </c>
      <c r="B5" s="49">
        <v>4075</v>
      </c>
      <c r="C5" s="80" t="s">
        <v>129</v>
      </c>
      <c r="D5" s="81" t="s">
        <v>185</v>
      </c>
      <c r="E5" s="175" t="s">
        <v>275</v>
      </c>
      <c r="F5" s="82">
        <f>TabelaMatriz!I192</f>
        <v>12.59</v>
      </c>
      <c r="G5" s="81">
        <f>TRUNC(F5*0.02,2)</f>
        <v>0.25</v>
      </c>
      <c r="H5" s="81">
        <f>TRUNC(F5*0.2,2)</f>
        <v>2.5099999999999998</v>
      </c>
      <c r="I5" s="81">
        <f>TRUNC(F5*0.05,2)</f>
        <v>0.62</v>
      </c>
      <c r="J5" s="81">
        <f>TRUNC(F5*0.05,2)</f>
        <v>0.62</v>
      </c>
      <c r="K5" s="81">
        <f>TRUNC(F5*0.04,2)</f>
        <v>0.5</v>
      </c>
      <c r="L5" s="81">
        <v>0.5</v>
      </c>
      <c r="M5" s="81">
        <v>0</v>
      </c>
      <c r="N5" s="81">
        <v>0</v>
      </c>
      <c r="O5" s="167">
        <f>SUM(F5:N5)</f>
        <v>17.59</v>
      </c>
    </row>
    <row r="6" spans="1:15" ht="18" customHeight="1">
      <c r="A6" s="49">
        <v>4050</v>
      </c>
      <c r="B6" s="49">
        <v>4076</v>
      </c>
      <c r="C6" s="83" t="s">
        <v>56</v>
      </c>
      <c r="D6" s="84" t="s">
        <v>186</v>
      </c>
      <c r="E6" s="175" t="s">
        <v>275</v>
      </c>
      <c r="F6" s="85">
        <f>TabelaMatriz!I193</f>
        <v>25.34</v>
      </c>
      <c r="G6" s="84">
        <f t="shared" ref="G6:G30" si="0">TRUNC(F6*0.02,2)</f>
        <v>0.5</v>
      </c>
      <c r="H6" s="84">
        <f t="shared" ref="H6:H30" si="1">TRUNC(F6*0.2,2)</f>
        <v>5.0599999999999996</v>
      </c>
      <c r="I6" s="84">
        <f t="shared" ref="I6:I30" si="2">TRUNC(F6*0.05,2)</f>
        <v>1.26</v>
      </c>
      <c r="J6" s="84">
        <f t="shared" ref="J6:J30" si="3">TRUNC(F6*0.05,2)</f>
        <v>1.26</v>
      </c>
      <c r="K6" s="84">
        <f t="shared" ref="K6:K30" si="4">TRUNC(F6*0.04,2)</f>
        <v>1.01</v>
      </c>
      <c r="L6" s="84">
        <v>1.01</v>
      </c>
      <c r="M6" s="84">
        <v>0</v>
      </c>
      <c r="N6" s="84">
        <v>0</v>
      </c>
      <c r="O6" s="168">
        <f t="shared" ref="O6:O30" si="5">SUM(F6:N6)</f>
        <v>35.439999999999991</v>
      </c>
    </row>
    <row r="7" spans="1:15" ht="18" customHeight="1">
      <c r="A7" s="49">
        <v>4051</v>
      </c>
      <c r="B7" s="49">
        <v>4077</v>
      </c>
      <c r="C7" s="83" t="s">
        <v>27</v>
      </c>
      <c r="D7" s="84" t="s">
        <v>187</v>
      </c>
      <c r="E7" s="175" t="s">
        <v>275</v>
      </c>
      <c r="F7" s="85">
        <f>TabelaMatriz!I194</f>
        <v>37.96</v>
      </c>
      <c r="G7" s="84">
        <f t="shared" si="0"/>
        <v>0.75</v>
      </c>
      <c r="H7" s="84">
        <f t="shared" si="1"/>
        <v>7.59</v>
      </c>
      <c r="I7" s="84">
        <f t="shared" si="2"/>
        <v>1.89</v>
      </c>
      <c r="J7" s="84">
        <f t="shared" si="3"/>
        <v>1.89</v>
      </c>
      <c r="K7" s="84">
        <f t="shared" si="4"/>
        <v>1.51</v>
      </c>
      <c r="L7" s="84">
        <v>1.51</v>
      </c>
      <c r="M7" s="84">
        <v>0</v>
      </c>
      <c r="N7" s="84">
        <v>0</v>
      </c>
      <c r="O7" s="168">
        <f t="shared" si="5"/>
        <v>53.099999999999994</v>
      </c>
    </row>
    <row r="8" spans="1:15" ht="18" customHeight="1">
      <c r="A8" s="49">
        <v>4052</v>
      </c>
      <c r="B8" s="49">
        <v>4078</v>
      </c>
      <c r="C8" s="83" t="s">
        <v>57</v>
      </c>
      <c r="D8" s="84" t="s">
        <v>188</v>
      </c>
      <c r="E8" s="175" t="s">
        <v>275</v>
      </c>
      <c r="F8" s="85">
        <f>TabelaMatriz!I195</f>
        <v>50.71</v>
      </c>
      <c r="G8" s="84">
        <f t="shared" si="0"/>
        <v>1.01</v>
      </c>
      <c r="H8" s="84">
        <f t="shared" si="1"/>
        <v>10.14</v>
      </c>
      <c r="I8" s="84">
        <f t="shared" si="2"/>
        <v>2.5299999999999998</v>
      </c>
      <c r="J8" s="84">
        <f t="shared" si="3"/>
        <v>2.5299999999999998</v>
      </c>
      <c r="K8" s="84">
        <f>TRUNC(F8*0.04,2)</f>
        <v>2.02</v>
      </c>
      <c r="L8" s="84">
        <v>2.02</v>
      </c>
      <c r="M8" s="84">
        <v>0</v>
      </c>
      <c r="N8" s="84">
        <v>0</v>
      </c>
      <c r="O8" s="168">
        <f t="shared" si="5"/>
        <v>70.959999999999994</v>
      </c>
    </row>
    <row r="9" spans="1:15" ht="18" customHeight="1">
      <c r="A9" s="49">
        <v>4053</v>
      </c>
      <c r="B9" s="49">
        <v>4079</v>
      </c>
      <c r="C9" s="83" t="s">
        <v>58</v>
      </c>
      <c r="D9" s="84" t="s">
        <v>189</v>
      </c>
      <c r="E9" s="175" t="s">
        <v>275</v>
      </c>
      <c r="F9" s="85">
        <f>TabelaMatriz!I196</f>
        <v>63.35</v>
      </c>
      <c r="G9" s="84">
        <f t="shared" si="0"/>
        <v>1.26</v>
      </c>
      <c r="H9" s="84">
        <f t="shared" si="1"/>
        <v>12.67</v>
      </c>
      <c r="I9" s="84">
        <f t="shared" si="2"/>
        <v>3.16</v>
      </c>
      <c r="J9" s="84">
        <f t="shared" si="3"/>
        <v>3.16</v>
      </c>
      <c r="K9" s="84">
        <f t="shared" si="4"/>
        <v>2.5299999999999998</v>
      </c>
      <c r="L9" s="84">
        <v>2.5299999999999998</v>
      </c>
      <c r="M9" s="84">
        <v>0</v>
      </c>
      <c r="N9" s="84">
        <v>0</v>
      </c>
      <c r="O9" s="168">
        <f t="shared" si="5"/>
        <v>88.66</v>
      </c>
    </row>
    <row r="10" spans="1:15" ht="18" customHeight="1">
      <c r="A10" s="49">
        <v>4054</v>
      </c>
      <c r="B10" s="49">
        <v>4080</v>
      </c>
      <c r="C10" s="83" t="s">
        <v>59</v>
      </c>
      <c r="D10" s="84" t="s">
        <v>190</v>
      </c>
      <c r="E10" s="175" t="s">
        <v>275</v>
      </c>
      <c r="F10" s="85">
        <f>TabelaMatriz!I197</f>
        <v>75.989999999999995</v>
      </c>
      <c r="G10" s="84">
        <f t="shared" si="0"/>
        <v>1.51</v>
      </c>
      <c r="H10" s="84">
        <f t="shared" si="1"/>
        <v>15.19</v>
      </c>
      <c r="I10" s="84">
        <f t="shared" si="2"/>
        <v>3.79</v>
      </c>
      <c r="J10" s="84">
        <f t="shared" si="3"/>
        <v>3.79</v>
      </c>
      <c r="K10" s="84">
        <f t="shared" si="4"/>
        <v>3.03</v>
      </c>
      <c r="L10" s="84">
        <v>3.03</v>
      </c>
      <c r="M10" s="84">
        <v>0</v>
      </c>
      <c r="N10" s="84">
        <v>0</v>
      </c>
      <c r="O10" s="168">
        <f t="shared" si="5"/>
        <v>106.33000000000001</v>
      </c>
    </row>
    <row r="11" spans="1:15" ht="18" customHeight="1">
      <c r="A11" s="49">
        <v>4055</v>
      </c>
      <c r="B11" s="49">
        <v>4081</v>
      </c>
      <c r="C11" s="83" t="s">
        <v>130</v>
      </c>
      <c r="D11" s="84" t="s">
        <v>191</v>
      </c>
      <c r="E11" s="175" t="s">
        <v>275</v>
      </c>
      <c r="F11" s="85">
        <f>TabelaMatriz!I198</f>
        <v>88.75</v>
      </c>
      <c r="G11" s="84">
        <f t="shared" si="0"/>
        <v>1.77</v>
      </c>
      <c r="H11" s="84">
        <f t="shared" si="1"/>
        <v>17.75</v>
      </c>
      <c r="I11" s="84">
        <f t="shared" si="2"/>
        <v>4.43</v>
      </c>
      <c r="J11" s="84">
        <f t="shared" si="3"/>
        <v>4.43</v>
      </c>
      <c r="K11" s="84">
        <f t="shared" si="4"/>
        <v>3.55</v>
      </c>
      <c r="L11" s="84">
        <v>3.55</v>
      </c>
      <c r="M11" s="84">
        <v>0</v>
      </c>
      <c r="N11" s="84">
        <v>0</v>
      </c>
      <c r="O11" s="168">
        <f t="shared" si="5"/>
        <v>124.22999999999999</v>
      </c>
    </row>
    <row r="12" spans="1:15" ht="18" customHeight="1">
      <c r="A12" s="49">
        <v>4056</v>
      </c>
      <c r="B12" s="49">
        <v>4082</v>
      </c>
      <c r="C12" s="83" t="s">
        <v>131</v>
      </c>
      <c r="D12" s="84" t="s">
        <v>192</v>
      </c>
      <c r="E12" s="175" t="s">
        <v>275</v>
      </c>
      <c r="F12" s="85">
        <f>TabelaMatriz!I199</f>
        <v>101.38</v>
      </c>
      <c r="G12" s="84">
        <f t="shared" si="0"/>
        <v>2.02</v>
      </c>
      <c r="H12" s="84">
        <f t="shared" si="1"/>
        <v>20.27</v>
      </c>
      <c r="I12" s="84">
        <f t="shared" si="2"/>
        <v>5.0599999999999996</v>
      </c>
      <c r="J12" s="84">
        <f t="shared" si="3"/>
        <v>5.0599999999999996</v>
      </c>
      <c r="K12" s="84">
        <f t="shared" si="4"/>
        <v>4.05</v>
      </c>
      <c r="L12" s="84">
        <v>4.05</v>
      </c>
      <c r="M12" s="84">
        <v>0</v>
      </c>
      <c r="N12" s="84">
        <v>0</v>
      </c>
      <c r="O12" s="168">
        <f t="shared" si="5"/>
        <v>141.89000000000001</v>
      </c>
    </row>
    <row r="13" spans="1:15" ht="18" customHeight="1">
      <c r="A13" s="49">
        <v>4057</v>
      </c>
      <c r="B13" s="49">
        <v>4083</v>
      </c>
      <c r="C13" s="83" t="s">
        <v>132</v>
      </c>
      <c r="D13" s="84" t="s">
        <v>193</v>
      </c>
      <c r="E13" s="175" t="s">
        <v>275</v>
      </c>
      <c r="F13" s="85">
        <f>TabelaMatriz!I200</f>
        <v>114.02</v>
      </c>
      <c r="G13" s="84">
        <f t="shared" si="0"/>
        <v>2.2799999999999998</v>
      </c>
      <c r="H13" s="84">
        <f t="shared" si="1"/>
        <v>22.8</v>
      </c>
      <c r="I13" s="84">
        <f t="shared" si="2"/>
        <v>5.7</v>
      </c>
      <c r="J13" s="84">
        <f t="shared" si="3"/>
        <v>5.7</v>
      </c>
      <c r="K13" s="84">
        <f t="shared" si="4"/>
        <v>4.5599999999999996</v>
      </c>
      <c r="L13" s="84">
        <v>4.5599999999999996</v>
      </c>
      <c r="M13" s="84">
        <v>0</v>
      </c>
      <c r="N13" s="84">
        <v>0</v>
      </c>
      <c r="O13" s="168">
        <f t="shared" si="5"/>
        <v>159.61999999999998</v>
      </c>
    </row>
    <row r="14" spans="1:15" ht="18" customHeight="1">
      <c r="A14" s="49">
        <v>4058</v>
      </c>
      <c r="B14" s="49">
        <v>4084</v>
      </c>
      <c r="C14" s="83" t="s">
        <v>133</v>
      </c>
      <c r="D14" s="84" t="s">
        <v>194</v>
      </c>
      <c r="E14" s="175" t="s">
        <v>275</v>
      </c>
      <c r="F14" s="85">
        <f>TabelaMatriz!I201</f>
        <v>126.75</v>
      </c>
      <c r="G14" s="84">
        <f t="shared" si="0"/>
        <v>2.5299999999999998</v>
      </c>
      <c r="H14" s="84">
        <f t="shared" si="1"/>
        <v>25.35</v>
      </c>
      <c r="I14" s="84">
        <f t="shared" si="2"/>
        <v>6.33</v>
      </c>
      <c r="J14" s="84">
        <f t="shared" si="3"/>
        <v>6.33</v>
      </c>
      <c r="K14" s="84">
        <f t="shared" si="4"/>
        <v>5.07</v>
      </c>
      <c r="L14" s="84">
        <v>5.07</v>
      </c>
      <c r="M14" s="84">
        <v>0</v>
      </c>
      <c r="N14" s="84">
        <v>0</v>
      </c>
      <c r="O14" s="168">
        <f t="shared" si="5"/>
        <v>177.43</v>
      </c>
    </row>
    <row r="15" spans="1:15" ht="18" customHeight="1">
      <c r="A15" s="49">
        <v>4059</v>
      </c>
      <c r="B15" s="49">
        <v>4085</v>
      </c>
      <c r="C15" s="83" t="s">
        <v>134</v>
      </c>
      <c r="D15" s="84" t="s">
        <v>195</v>
      </c>
      <c r="E15" s="175" t="s">
        <v>275</v>
      </c>
      <c r="F15" s="85">
        <f>TabelaMatriz!I202</f>
        <v>152.15</v>
      </c>
      <c r="G15" s="84">
        <f t="shared" si="0"/>
        <v>3.04</v>
      </c>
      <c r="H15" s="84">
        <f t="shared" si="1"/>
        <v>30.43</v>
      </c>
      <c r="I15" s="84">
        <f t="shared" si="2"/>
        <v>7.6</v>
      </c>
      <c r="J15" s="84">
        <f t="shared" si="3"/>
        <v>7.6</v>
      </c>
      <c r="K15" s="84">
        <f t="shared" si="4"/>
        <v>6.08</v>
      </c>
      <c r="L15" s="84">
        <v>6.08</v>
      </c>
      <c r="M15" s="84">
        <f>TabelaMatriz!$I$291</f>
        <v>14.58</v>
      </c>
      <c r="N15" s="84">
        <v>0</v>
      </c>
      <c r="O15" s="168">
        <f t="shared" si="5"/>
        <v>227.56000000000003</v>
      </c>
    </row>
    <row r="16" spans="1:15" ht="18" customHeight="1">
      <c r="A16" s="49">
        <v>4060</v>
      </c>
      <c r="B16" s="49">
        <v>4086</v>
      </c>
      <c r="C16" s="83" t="s">
        <v>135</v>
      </c>
      <c r="D16" s="84" t="s">
        <v>196</v>
      </c>
      <c r="E16" s="175" t="s">
        <v>275</v>
      </c>
      <c r="F16" s="85">
        <f>TabelaMatriz!I203</f>
        <v>177.53</v>
      </c>
      <c r="G16" s="84">
        <f t="shared" si="0"/>
        <v>3.55</v>
      </c>
      <c r="H16" s="84">
        <f t="shared" si="1"/>
        <v>35.5</v>
      </c>
      <c r="I16" s="84">
        <f t="shared" si="2"/>
        <v>8.8699999999999992</v>
      </c>
      <c r="J16" s="84">
        <f t="shared" si="3"/>
        <v>8.8699999999999992</v>
      </c>
      <c r="K16" s="84">
        <f t="shared" si="4"/>
        <v>7.1</v>
      </c>
      <c r="L16" s="84">
        <v>7.1</v>
      </c>
      <c r="M16" s="84">
        <v>0</v>
      </c>
      <c r="N16" s="84">
        <v>0</v>
      </c>
      <c r="O16" s="168">
        <f t="shared" si="5"/>
        <v>248.52</v>
      </c>
    </row>
    <row r="17" spans="1:15" ht="18" customHeight="1">
      <c r="A17" s="49">
        <v>4061</v>
      </c>
      <c r="B17" s="49">
        <v>4087</v>
      </c>
      <c r="C17" s="83" t="s">
        <v>136</v>
      </c>
      <c r="D17" s="84" t="s">
        <v>197</v>
      </c>
      <c r="E17" s="175" t="s">
        <v>275</v>
      </c>
      <c r="F17" s="85">
        <f>TabelaMatriz!I204</f>
        <v>202.81</v>
      </c>
      <c r="G17" s="84">
        <f t="shared" si="0"/>
        <v>4.05</v>
      </c>
      <c r="H17" s="84">
        <f t="shared" si="1"/>
        <v>40.56</v>
      </c>
      <c r="I17" s="84">
        <f t="shared" si="2"/>
        <v>10.14</v>
      </c>
      <c r="J17" s="84">
        <f t="shared" si="3"/>
        <v>10.14</v>
      </c>
      <c r="K17" s="84">
        <f t="shared" si="4"/>
        <v>8.11</v>
      </c>
      <c r="L17" s="84">
        <v>8.11</v>
      </c>
      <c r="M17" s="84">
        <v>0</v>
      </c>
      <c r="N17" s="84">
        <v>0</v>
      </c>
      <c r="O17" s="168">
        <f t="shared" si="5"/>
        <v>283.92</v>
      </c>
    </row>
    <row r="18" spans="1:15" ht="18" customHeight="1">
      <c r="A18" s="49">
        <v>4062</v>
      </c>
      <c r="B18" s="49">
        <v>4088</v>
      </c>
      <c r="C18" s="83" t="s">
        <v>137</v>
      </c>
      <c r="D18" s="84" t="s">
        <v>198</v>
      </c>
      <c r="E18" s="175" t="s">
        <v>275</v>
      </c>
      <c r="F18" s="85">
        <f>TabelaMatriz!I205</f>
        <v>228.19</v>
      </c>
      <c r="G18" s="84">
        <f t="shared" si="0"/>
        <v>4.5599999999999996</v>
      </c>
      <c r="H18" s="84">
        <f t="shared" si="1"/>
        <v>45.63</v>
      </c>
      <c r="I18" s="84">
        <f t="shared" si="2"/>
        <v>11.4</v>
      </c>
      <c r="J18" s="84">
        <f t="shared" si="3"/>
        <v>11.4</v>
      </c>
      <c r="K18" s="84">
        <f t="shared" si="4"/>
        <v>9.1199999999999992</v>
      </c>
      <c r="L18" s="84">
        <v>9.1199999999999992</v>
      </c>
      <c r="M18" s="84">
        <v>0</v>
      </c>
      <c r="N18" s="84">
        <v>0</v>
      </c>
      <c r="O18" s="168">
        <f t="shared" si="5"/>
        <v>319.41999999999996</v>
      </c>
    </row>
    <row r="19" spans="1:15" ht="18" customHeight="1">
      <c r="A19" s="49">
        <v>4063</v>
      </c>
      <c r="B19" s="49">
        <v>4089</v>
      </c>
      <c r="C19" s="83" t="s">
        <v>138</v>
      </c>
      <c r="D19" s="84" t="s">
        <v>199</v>
      </c>
      <c r="E19" s="175" t="s">
        <v>275</v>
      </c>
      <c r="F19" s="85">
        <f>TabelaMatriz!I206</f>
        <v>253.57</v>
      </c>
      <c r="G19" s="84">
        <f t="shared" si="0"/>
        <v>5.07</v>
      </c>
      <c r="H19" s="84">
        <f t="shared" si="1"/>
        <v>50.71</v>
      </c>
      <c r="I19" s="84">
        <f t="shared" si="2"/>
        <v>12.67</v>
      </c>
      <c r="J19" s="84">
        <f t="shared" si="3"/>
        <v>12.67</v>
      </c>
      <c r="K19" s="84">
        <f t="shared" si="4"/>
        <v>10.14</v>
      </c>
      <c r="L19" s="84">
        <v>10.14</v>
      </c>
      <c r="M19" s="84">
        <v>0</v>
      </c>
      <c r="N19" s="84">
        <v>0</v>
      </c>
      <c r="O19" s="168">
        <f t="shared" si="5"/>
        <v>354.96999999999997</v>
      </c>
    </row>
    <row r="20" spans="1:15" ht="18" customHeight="1">
      <c r="A20" s="49">
        <v>4064</v>
      </c>
      <c r="B20" s="49">
        <v>4090</v>
      </c>
      <c r="C20" s="83" t="s">
        <v>139</v>
      </c>
      <c r="D20" s="84" t="s">
        <v>200</v>
      </c>
      <c r="E20" s="175" t="s">
        <v>275</v>
      </c>
      <c r="F20" s="85">
        <f>TabelaMatriz!I207</f>
        <v>285.18</v>
      </c>
      <c r="G20" s="84">
        <f t="shared" si="0"/>
        <v>5.7</v>
      </c>
      <c r="H20" s="84">
        <f t="shared" si="1"/>
        <v>57.03</v>
      </c>
      <c r="I20" s="84">
        <f t="shared" si="2"/>
        <v>14.25</v>
      </c>
      <c r="J20" s="84">
        <f t="shared" si="3"/>
        <v>14.25</v>
      </c>
      <c r="K20" s="84">
        <f t="shared" si="4"/>
        <v>11.4</v>
      </c>
      <c r="L20" s="84">
        <v>11.4</v>
      </c>
      <c r="M20" s="84">
        <v>0</v>
      </c>
      <c r="N20" s="84">
        <v>0</v>
      </c>
      <c r="O20" s="168">
        <f t="shared" si="5"/>
        <v>399.20999999999992</v>
      </c>
    </row>
    <row r="21" spans="1:15" ht="18" customHeight="1">
      <c r="A21" s="49">
        <v>4065</v>
      </c>
      <c r="B21" s="49">
        <v>4091</v>
      </c>
      <c r="C21" s="83" t="s">
        <v>140</v>
      </c>
      <c r="D21" s="84" t="s">
        <v>201</v>
      </c>
      <c r="E21" s="175" t="s">
        <v>275</v>
      </c>
      <c r="F21" s="85">
        <f>TabelaMatriz!I208</f>
        <v>316.8</v>
      </c>
      <c r="G21" s="84">
        <f t="shared" si="0"/>
        <v>6.33</v>
      </c>
      <c r="H21" s="84">
        <f t="shared" si="1"/>
        <v>63.36</v>
      </c>
      <c r="I21" s="84">
        <f t="shared" si="2"/>
        <v>15.84</v>
      </c>
      <c r="J21" s="84">
        <f t="shared" si="3"/>
        <v>15.84</v>
      </c>
      <c r="K21" s="84">
        <f t="shared" si="4"/>
        <v>12.67</v>
      </c>
      <c r="L21" s="84">
        <v>12.67</v>
      </c>
      <c r="M21" s="84">
        <v>0</v>
      </c>
      <c r="N21" s="84">
        <v>0</v>
      </c>
      <c r="O21" s="168">
        <f t="shared" si="5"/>
        <v>443.51</v>
      </c>
    </row>
    <row r="22" spans="1:15" ht="18" customHeight="1">
      <c r="A22" s="49">
        <v>4066</v>
      </c>
      <c r="B22" s="49">
        <v>4092</v>
      </c>
      <c r="C22" s="83" t="s">
        <v>141</v>
      </c>
      <c r="D22" s="84" t="s">
        <v>202</v>
      </c>
      <c r="E22" s="175" t="s">
        <v>275</v>
      </c>
      <c r="F22" s="85">
        <f>TabelaMatriz!I209</f>
        <v>348.4</v>
      </c>
      <c r="G22" s="84">
        <f t="shared" si="0"/>
        <v>6.96</v>
      </c>
      <c r="H22" s="84">
        <f t="shared" si="1"/>
        <v>69.680000000000007</v>
      </c>
      <c r="I22" s="84">
        <f t="shared" si="2"/>
        <v>17.420000000000002</v>
      </c>
      <c r="J22" s="84">
        <f t="shared" si="3"/>
        <v>17.420000000000002</v>
      </c>
      <c r="K22" s="84">
        <f t="shared" si="4"/>
        <v>13.93</v>
      </c>
      <c r="L22" s="84">
        <v>13.93</v>
      </c>
      <c r="M22" s="84">
        <v>0</v>
      </c>
      <c r="N22" s="84">
        <v>0</v>
      </c>
      <c r="O22" s="168">
        <f t="shared" si="5"/>
        <v>487.74</v>
      </c>
    </row>
    <row r="23" spans="1:15" ht="18" customHeight="1">
      <c r="A23" s="49">
        <v>4067</v>
      </c>
      <c r="B23" s="49">
        <v>4093</v>
      </c>
      <c r="C23" s="83" t="s">
        <v>142</v>
      </c>
      <c r="D23" s="84" t="s">
        <v>203</v>
      </c>
      <c r="E23" s="175" t="s">
        <v>275</v>
      </c>
      <c r="F23" s="85">
        <f>TabelaMatriz!I210</f>
        <v>380.02</v>
      </c>
      <c r="G23" s="84">
        <f t="shared" si="0"/>
        <v>7.6</v>
      </c>
      <c r="H23" s="84">
        <f t="shared" si="1"/>
        <v>76</v>
      </c>
      <c r="I23" s="84">
        <f t="shared" si="2"/>
        <v>19</v>
      </c>
      <c r="J23" s="84">
        <f t="shared" si="3"/>
        <v>19</v>
      </c>
      <c r="K23" s="84">
        <f t="shared" si="4"/>
        <v>15.2</v>
      </c>
      <c r="L23" s="84">
        <v>15.2</v>
      </c>
      <c r="M23" s="84">
        <v>0</v>
      </c>
      <c r="N23" s="84">
        <v>0</v>
      </c>
      <c r="O23" s="168">
        <f t="shared" si="5"/>
        <v>532.0200000000001</v>
      </c>
    </row>
    <row r="24" spans="1:15" ht="18" customHeight="1">
      <c r="A24" s="49">
        <v>4068</v>
      </c>
      <c r="B24" s="49">
        <v>4094</v>
      </c>
      <c r="C24" s="83" t="s">
        <v>143</v>
      </c>
      <c r="D24" s="84" t="s">
        <v>204</v>
      </c>
      <c r="E24" s="175" t="s">
        <v>275</v>
      </c>
      <c r="F24" s="85">
        <f>TabelaMatriz!I211</f>
        <v>411.64</v>
      </c>
      <c r="G24" s="84">
        <f t="shared" si="0"/>
        <v>8.23</v>
      </c>
      <c r="H24" s="84">
        <f t="shared" si="1"/>
        <v>82.32</v>
      </c>
      <c r="I24" s="84">
        <f t="shared" si="2"/>
        <v>20.58</v>
      </c>
      <c r="J24" s="84">
        <f t="shared" si="3"/>
        <v>20.58</v>
      </c>
      <c r="K24" s="84">
        <f t="shared" si="4"/>
        <v>16.46</v>
      </c>
      <c r="L24" s="84">
        <v>16.46</v>
      </c>
      <c r="M24" s="84">
        <v>0</v>
      </c>
      <c r="N24" s="84">
        <v>0</v>
      </c>
      <c r="O24" s="168">
        <f t="shared" si="5"/>
        <v>576.2700000000001</v>
      </c>
    </row>
    <row r="25" spans="1:15" ht="18" customHeight="1">
      <c r="A25" s="49">
        <v>4069</v>
      </c>
      <c r="B25" s="49">
        <v>4095</v>
      </c>
      <c r="C25" s="83" t="s">
        <v>144</v>
      </c>
      <c r="D25" s="84" t="s">
        <v>205</v>
      </c>
      <c r="E25" s="175" t="s">
        <v>275</v>
      </c>
      <c r="F25" s="85">
        <f>TabelaMatriz!I212</f>
        <v>443.26</v>
      </c>
      <c r="G25" s="84">
        <f t="shared" si="0"/>
        <v>8.86</v>
      </c>
      <c r="H25" s="84">
        <f t="shared" si="1"/>
        <v>88.65</v>
      </c>
      <c r="I25" s="84">
        <f t="shared" si="2"/>
        <v>22.16</v>
      </c>
      <c r="J25" s="84">
        <f t="shared" si="3"/>
        <v>22.16</v>
      </c>
      <c r="K25" s="84">
        <f t="shared" si="4"/>
        <v>17.73</v>
      </c>
      <c r="L25" s="84">
        <v>17.73</v>
      </c>
      <c r="M25" s="84">
        <v>0</v>
      </c>
      <c r="N25" s="84">
        <v>0</v>
      </c>
      <c r="O25" s="168">
        <f t="shared" si="5"/>
        <v>620.54999999999995</v>
      </c>
    </row>
    <row r="26" spans="1:15" ht="18" customHeight="1">
      <c r="A26" s="49">
        <v>4070</v>
      </c>
      <c r="B26" s="49">
        <v>4096</v>
      </c>
      <c r="C26" s="83" t="s">
        <v>145</v>
      </c>
      <c r="D26" s="84" t="s">
        <v>206</v>
      </c>
      <c r="E26" s="175" t="s">
        <v>275</v>
      </c>
      <c r="F26" s="85">
        <f>TabelaMatriz!I213</f>
        <v>474.86</v>
      </c>
      <c r="G26" s="84">
        <f t="shared" si="0"/>
        <v>9.49</v>
      </c>
      <c r="H26" s="84">
        <f t="shared" si="1"/>
        <v>94.97</v>
      </c>
      <c r="I26" s="84">
        <f t="shared" si="2"/>
        <v>23.74</v>
      </c>
      <c r="J26" s="84">
        <f t="shared" si="3"/>
        <v>23.74</v>
      </c>
      <c r="K26" s="84">
        <f t="shared" si="4"/>
        <v>18.989999999999998</v>
      </c>
      <c r="L26" s="84">
        <v>18.989999999999998</v>
      </c>
      <c r="M26" s="84">
        <v>0</v>
      </c>
      <c r="N26" s="84">
        <v>0</v>
      </c>
      <c r="O26" s="168">
        <f t="shared" si="5"/>
        <v>664.78000000000009</v>
      </c>
    </row>
    <row r="27" spans="1:15" ht="18" customHeight="1">
      <c r="A27" s="49">
        <v>4071</v>
      </c>
      <c r="B27" s="49">
        <v>4097</v>
      </c>
      <c r="C27" s="83" t="s">
        <v>146</v>
      </c>
      <c r="D27" s="84" t="s">
        <v>207</v>
      </c>
      <c r="E27" s="175" t="s">
        <v>275</v>
      </c>
      <c r="F27" s="85">
        <f>TabelaMatriz!I214</f>
        <v>506.46</v>
      </c>
      <c r="G27" s="84">
        <f t="shared" si="0"/>
        <v>10.119999999999999</v>
      </c>
      <c r="H27" s="84">
        <f t="shared" si="1"/>
        <v>101.29</v>
      </c>
      <c r="I27" s="84">
        <f t="shared" si="2"/>
        <v>25.32</v>
      </c>
      <c r="J27" s="84">
        <f t="shared" si="3"/>
        <v>25.32</v>
      </c>
      <c r="K27" s="84">
        <f t="shared" si="4"/>
        <v>20.25</v>
      </c>
      <c r="L27" s="84">
        <v>20.25</v>
      </c>
      <c r="M27" s="84">
        <v>0</v>
      </c>
      <c r="N27" s="84">
        <v>0</v>
      </c>
      <c r="O27" s="168">
        <f t="shared" si="5"/>
        <v>709.01</v>
      </c>
    </row>
    <row r="28" spans="1:15" ht="18" customHeight="1">
      <c r="A28" s="49">
        <v>4072</v>
      </c>
      <c r="B28" s="49">
        <v>4098</v>
      </c>
      <c r="C28" s="83" t="s">
        <v>147</v>
      </c>
      <c r="D28" s="84" t="s">
        <v>208</v>
      </c>
      <c r="E28" s="175" t="s">
        <v>275</v>
      </c>
      <c r="F28" s="85">
        <f>TabelaMatriz!I215</f>
        <v>538.05999999999995</v>
      </c>
      <c r="G28" s="84">
        <f t="shared" si="0"/>
        <v>10.76</v>
      </c>
      <c r="H28" s="84">
        <f t="shared" si="1"/>
        <v>107.61</v>
      </c>
      <c r="I28" s="84">
        <f t="shared" si="2"/>
        <v>26.9</v>
      </c>
      <c r="J28" s="84">
        <f t="shared" si="3"/>
        <v>26.9</v>
      </c>
      <c r="K28" s="84">
        <f t="shared" si="4"/>
        <v>21.52</v>
      </c>
      <c r="L28" s="84">
        <v>21.52</v>
      </c>
      <c r="M28" s="84">
        <v>0</v>
      </c>
      <c r="N28" s="84">
        <v>0</v>
      </c>
      <c r="O28" s="168">
        <f t="shared" si="5"/>
        <v>753.26999999999987</v>
      </c>
    </row>
    <row r="29" spans="1:15" ht="18" customHeight="1">
      <c r="A29" s="49">
        <v>4073</v>
      </c>
      <c r="B29" s="49">
        <v>4099</v>
      </c>
      <c r="C29" s="83" t="s">
        <v>148</v>
      </c>
      <c r="D29" s="84" t="s">
        <v>209</v>
      </c>
      <c r="E29" s="175" t="s">
        <v>275</v>
      </c>
      <c r="F29" s="85">
        <f>TabelaMatriz!I216</f>
        <v>569.66999999999996</v>
      </c>
      <c r="G29" s="84">
        <f t="shared" si="0"/>
        <v>11.39</v>
      </c>
      <c r="H29" s="84">
        <f t="shared" si="1"/>
        <v>113.93</v>
      </c>
      <c r="I29" s="84">
        <f t="shared" si="2"/>
        <v>28.48</v>
      </c>
      <c r="J29" s="84">
        <f t="shared" si="3"/>
        <v>28.48</v>
      </c>
      <c r="K29" s="84">
        <f t="shared" si="4"/>
        <v>22.78</v>
      </c>
      <c r="L29" s="84">
        <v>22.78</v>
      </c>
      <c r="M29" s="84">
        <v>0</v>
      </c>
      <c r="N29" s="84">
        <v>0</v>
      </c>
      <c r="O29" s="168">
        <f t="shared" si="5"/>
        <v>797.51</v>
      </c>
    </row>
    <row r="30" spans="1:15" ht="18" customHeight="1">
      <c r="A30" s="49">
        <v>4074</v>
      </c>
      <c r="B30" s="49">
        <v>4100</v>
      </c>
      <c r="C30" s="86" t="s">
        <v>149</v>
      </c>
      <c r="D30" s="87" t="s">
        <v>210</v>
      </c>
      <c r="E30" s="166" t="s">
        <v>275</v>
      </c>
      <c r="F30" s="88">
        <f>TabelaMatriz!I217</f>
        <v>601.29</v>
      </c>
      <c r="G30" s="87">
        <f t="shared" si="0"/>
        <v>12.02</v>
      </c>
      <c r="H30" s="87">
        <f t="shared" si="1"/>
        <v>120.25</v>
      </c>
      <c r="I30" s="87">
        <f t="shared" si="2"/>
        <v>30.06</v>
      </c>
      <c r="J30" s="87">
        <f t="shared" si="3"/>
        <v>30.06</v>
      </c>
      <c r="K30" s="87">
        <f t="shared" si="4"/>
        <v>24.05</v>
      </c>
      <c r="L30" s="87">
        <v>24.05</v>
      </c>
      <c r="M30" s="87">
        <v>0</v>
      </c>
      <c r="N30" s="87">
        <v>0</v>
      </c>
      <c r="O30" s="169">
        <f t="shared" si="5"/>
        <v>841.77999999999975</v>
      </c>
    </row>
    <row r="31" spans="1:15" ht="15">
      <c r="C31" s="19"/>
      <c r="D31" s="65"/>
      <c r="E31" s="19"/>
      <c r="F31" s="89"/>
      <c r="G31" s="19"/>
      <c r="H31" s="19"/>
      <c r="I31" s="19"/>
      <c r="J31" s="19"/>
      <c r="K31" s="19"/>
      <c r="L31" s="19"/>
      <c r="M31" s="19"/>
      <c r="N31" s="19"/>
      <c r="O31" s="19"/>
    </row>
    <row r="32" spans="1:15" ht="15">
      <c r="C32" s="19"/>
      <c r="D32" s="65"/>
      <c r="E32" s="19"/>
      <c r="F32" s="89"/>
      <c r="G32" s="19"/>
      <c r="H32" s="19"/>
      <c r="I32" s="19"/>
      <c r="J32" s="19"/>
      <c r="K32" s="19"/>
      <c r="L32" s="19"/>
      <c r="M32" s="19"/>
      <c r="N32" s="19"/>
      <c r="O32" s="19"/>
    </row>
    <row r="33" spans="1:15" ht="15">
      <c r="C33" s="19"/>
      <c r="D33" s="19"/>
      <c r="E33" s="19"/>
      <c r="F33" s="89"/>
      <c r="G33" s="19"/>
      <c r="H33" s="19"/>
      <c r="I33" s="19"/>
      <c r="J33" s="19"/>
      <c r="K33" s="19"/>
      <c r="L33" s="19"/>
      <c r="M33" s="19"/>
      <c r="N33" s="19"/>
      <c r="O33" s="19"/>
    </row>
    <row r="34" spans="1:15" ht="15">
      <c r="C34" s="19"/>
      <c r="D34" s="19"/>
      <c r="E34" s="19"/>
      <c r="F34" s="89"/>
      <c r="G34" s="19"/>
      <c r="H34" s="19"/>
      <c r="I34" s="19"/>
      <c r="J34" s="19"/>
      <c r="K34" s="19"/>
      <c r="L34" s="19"/>
      <c r="M34" s="19"/>
      <c r="N34" s="19"/>
      <c r="O34" s="19"/>
    </row>
    <row r="35" spans="1:15" ht="15">
      <c r="C35" s="19"/>
      <c r="D35" s="19"/>
      <c r="E35" s="19"/>
      <c r="F35" s="89"/>
      <c r="G35" s="19"/>
      <c r="H35" s="19"/>
      <c r="I35" s="19"/>
      <c r="J35" s="19"/>
      <c r="K35" s="19"/>
      <c r="L35" s="19"/>
      <c r="M35" s="19"/>
      <c r="N35" s="19"/>
      <c r="O35" s="19"/>
    </row>
    <row r="36" spans="1:15" ht="15">
      <c r="C36" s="19"/>
      <c r="D36" s="19"/>
      <c r="E36" s="19"/>
      <c r="F36" s="89"/>
      <c r="G36" s="19"/>
      <c r="H36" s="19"/>
      <c r="I36" s="19"/>
      <c r="J36" s="19"/>
      <c r="K36" s="19"/>
      <c r="L36" s="19"/>
      <c r="M36" s="19"/>
      <c r="N36" s="19"/>
      <c r="O36" s="19"/>
    </row>
    <row r="37" spans="1:15" ht="15" customHeight="1">
      <c r="A37" s="778" t="s">
        <v>29</v>
      </c>
      <c r="B37" s="780"/>
      <c r="C37" s="19"/>
      <c r="D37" s="573" t="s">
        <v>211</v>
      </c>
      <c r="E37" s="573" t="s">
        <v>33</v>
      </c>
      <c r="F37" s="567" t="s">
        <v>4</v>
      </c>
      <c r="G37" s="567" t="s">
        <v>180</v>
      </c>
      <c r="H37" s="573" t="s">
        <v>181</v>
      </c>
      <c r="I37" s="573" t="s">
        <v>423</v>
      </c>
      <c r="J37" s="573" t="s">
        <v>182</v>
      </c>
      <c r="K37" s="573" t="s">
        <v>425</v>
      </c>
      <c r="L37" s="567" t="s">
        <v>488</v>
      </c>
      <c r="M37" s="573" t="s">
        <v>183</v>
      </c>
      <c r="N37" s="573" t="s">
        <v>184</v>
      </c>
      <c r="O37" s="820" t="s">
        <v>3</v>
      </c>
    </row>
    <row r="38" spans="1:15" s="79" customFormat="1" ht="19.5" customHeight="1">
      <c r="A38" s="91" t="s">
        <v>219</v>
      </c>
      <c r="B38" s="91" t="s">
        <v>2</v>
      </c>
      <c r="C38" s="34"/>
      <c r="D38" s="573"/>
      <c r="E38" s="573"/>
      <c r="F38" s="568"/>
      <c r="G38" s="568"/>
      <c r="H38" s="573"/>
      <c r="I38" s="573"/>
      <c r="J38" s="573"/>
      <c r="K38" s="573"/>
      <c r="L38" s="568"/>
      <c r="M38" s="573"/>
      <c r="N38" s="573"/>
      <c r="O38" s="820"/>
    </row>
    <row r="39" spans="1:15" ht="18">
      <c r="C39" s="19"/>
      <c r="D39" s="19"/>
      <c r="E39" s="19"/>
      <c r="F39" s="89"/>
      <c r="G39" s="19"/>
      <c r="H39" s="19"/>
      <c r="I39" s="19"/>
      <c r="J39" s="19"/>
      <c r="K39" s="19"/>
      <c r="L39" s="445"/>
      <c r="M39" s="19"/>
      <c r="N39" s="19"/>
      <c r="O39" s="116"/>
    </row>
    <row r="40" spans="1:15" ht="20.25" customHeight="1">
      <c r="A40" s="49">
        <v>4010</v>
      </c>
      <c r="B40" s="49">
        <v>4038</v>
      </c>
      <c r="C40" s="19"/>
      <c r="D40" s="80" t="s">
        <v>212</v>
      </c>
      <c r="E40" s="174" t="s">
        <v>276</v>
      </c>
      <c r="F40" s="82">
        <f>TabelaMatriz!I218</f>
        <v>47.27</v>
      </c>
      <c r="G40" s="81">
        <f>TRUNC(F40*0.02,2)</f>
        <v>0.94</v>
      </c>
      <c r="H40" s="81">
        <f>TRUNC(F40*0.2,2)</f>
        <v>9.4499999999999993</v>
      </c>
      <c r="I40" s="81">
        <f>TRUNC(F40*0.05,2)</f>
        <v>2.36</v>
      </c>
      <c r="J40" s="81">
        <f>TRUNC(F40*0.05,2)</f>
        <v>2.36</v>
      </c>
      <c r="K40" s="81">
        <f>TRUNC(F40*0.04,2)</f>
        <v>1.89</v>
      </c>
      <c r="L40" s="84">
        <v>1.89</v>
      </c>
      <c r="M40" s="81"/>
      <c r="N40" s="81"/>
      <c r="O40" s="162">
        <f>SUM(F40:N40)</f>
        <v>66.16</v>
      </c>
    </row>
    <row r="41" spans="1:15" ht="20.25" customHeight="1">
      <c r="A41" s="819">
        <v>4011</v>
      </c>
      <c r="B41" s="819">
        <v>4045</v>
      </c>
      <c r="C41" s="19"/>
      <c r="D41" s="83" t="s">
        <v>213</v>
      </c>
      <c r="E41" s="175" t="s">
        <v>277</v>
      </c>
      <c r="F41" s="85">
        <f>TabelaMatriz!I220</f>
        <v>20.85</v>
      </c>
      <c r="G41" s="84">
        <f>TRUNC(F41*0.02,2)</f>
        <v>0.41</v>
      </c>
      <c r="H41" s="84">
        <f t="shared" ref="H41:H54" si="6">TRUNC(F41*0.2,2)</f>
        <v>4.17</v>
      </c>
      <c r="I41" s="84">
        <f t="shared" ref="I41:I54" si="7">TRUNC(F41*0.05,2)</f>
        <v>1.04</v>
      </c>
      <c r="J41" s="84">
        <f t="shared" ref="J41:J54" si="8">TRUNC(F41*0.05,2)</f>
        <v>1.04</v>
      </c>
      <c r="K41" s="84">
        <f t="shared" ref="K41:K54" si="9">TRUNC(F41*0.04,2)</f>
        <v>0.83</v>
      </c>
      <c r="L41" s="84">
        <v>0.83</v>
      </c>
      <c r="M41" s="84" t="s">
        <v>34</v>
      </c>
      <c r="N41" s="84" t="s">
        <v>34</v>
      </c>
      <c r="O41" s="163">
        <f t="shared" ref="O41:O54" si="10">SUM(F41:N41)</f>
        <v>29.169999999999995</v>
      </c>
    </row>
    <row r="42" spans="1:15" ht="20.25" customHeight="1">
      <c r="A42" s="819"/>
      <c r="B42" s="819"/>
      <c r="C42" s="19"/>
      <c r="D42" s="83" t="s">
        <v>214</v>
      </c>
      <c r="E42" s="93" t="s">
        <v>278</v>
      </c>
      <c r="F42" s="85">
        <f>TabelaMatriz!I221</f>
        <v>11.37</v>
      </c>
      <c r="G42" s="84">
        <f>TRUNC(F42*0.02,2)</f>
        <v>0.22</v>
      </c>
      <c r="H42" s="84">
        <f t="shared" si="6"/>
        <v>2.27</v>
      </c>
      <c r="I42" s="84">
        <f t="shared" si="7"/>
        <v>0.56000000000000005</v>
      </c>
      <c r="J42" s="84">
        <f t="shared" si="8"/>
        <v>0.56000000000000005</v>
      </c>
      <c r="K42" s="84">
        <f t="shared" si="9"/>
        <v>0.45</v>
      </c>
      <c r="L42" s="84">
        <v>0.45</v>
      </c>
      <c r="M42" s="84" t="s">
        <v>34</v>
      </c>
      <c r="N42" s="84" t="s">
        <v>34</v>
      </c>
      <c r="O42" s="163">
        <f t="shared" si="10"/>
        <v>15.879999999999999</v>
      </c>
    </row>
    <row r="43" spans="1:15" ht="20.25" customHeight="1">
      <c r="A43" s="49">
        <v>4028</v>
      </c>
      <c r="B43" s="49">
        <v>4040</v>
      </c>
      <c r="C43" s="19"/>
      <c r="D43" s="83" t="s">
        <v>215</v>
      </c>
      <c r="E43" s="175" t="s">
        <v>239</v>
      </c>
      <c r="F43" s="85">
        <f>TabelaMatriz!I10</f>
        <v>12</v>
      </c>
      <c r="G43" s="84" t="s">
        <v>216</v>
      </c>
      <c r="H43" s="84">
        <f t="shared" si="6"/>
        <v>2.4</v>
      </c>
      <c r="I43" s="84">
        <f t="shared" si="7"/>
        <v>0.6</v>
      </c>
      <c r="J43" s="84">
        <f t="shared" si="8"/>
        <v>0.6</v>
      </c>
      <c r="K43" s="84">
        <f t="shared" si="9"/>
        <v>0.48</v>
      </c>
      <c r="L43" s="84">
        <v>0.48</v>
      </c>
      <c r="M43" s="84" t="s">
        <v>34</v>
      </c>
      <c r="N43" s="84" t="s">
        <v>34</v>
      </c>
      <c r="O43" s="163">
        <f t="shared" si="10"/>
        <v>16.559999999999999</v>
      </c>
    </row>
    <row r="44" spans="1:15" ht="20.25" customHeight="1">
      <c r="A44" s="49">
        <v>4021</v>
      </c>
      <c r="B44" s="49">
        <v>4039</v>
      </c>
      <c r="C44" s="19"/>
      <c r="D44" s="83" t="s">
        <v>319</v>
      </c>
      <c r="E44" s="93" t="s">
        <v>321</v>
      </c>
      <c r="F44" s="85"/>
      <c r="G44" s="84"/>
      <c r="H44" s="84"/>
      <c r="I44" s="84"/>
      <c r="J44" s="84"/>
      <c r="K44" s="84"/>
      <c r="L44" s="84"/>
      <c r="M44" s="84"/>
      <c r="N44" s="84"/>
      <c r="O44" s="163"/>
    </row>
    <row r="45" spans="1:15" ht="20.25" customHeight="1">
      <c r="A45" s="49">
        <v>4022</v>
      </c>
      <c r="B45" s="49">
        <v>4044</v>
      </c>
      <c r="C45" s="19"/>
      <c r="D45" s="83" t="s">
        <v>30</v>
      </c>
      <c r="E45" s="175" t="s">
        <v>279</v>
      </c>
      <c r="F45" s="85">
        <f>TRUNC(TabelaMatriz!I7/2,2)</f>
        <v>9.91</v>
      </c>
      <c r="G45" s="84" t="s">
        <v>216</v>
      </c>
      <c r="H45" s="84">
        <f t="shared" si="6"/>
        <v>1.98</v>
      </c>
      <c r="I45" s="84">
        <f t="shared" si="7"/>
        <v>0.49</v>
      </c>
      <c r="J45" s="84">
        <f t="shared" si="8"/>
        <v>0.49</v>
      </c>
      <c r="K45" s="84">
        <f t="shared" si="9"/>
        <v>0.39</v>
      </c>
      <c r="L45" s="84">
        <v>0.39</v>
      </c>
      <c r="M45" s="84" t="s">
        <v>34</v>
      </c>
      <c r="N45" s="84" t="s">
        <v>34</v>
      </c>
      <c r="O45" s="163">
        <f t="shared" si="10"/>
        <v>13.650000000000002</v>
      </c>
    </row>
    <row r="46" spans="1:15" ht="20.25" customHeight="1">
      <c r="A46" s="49">
        <v>4025</v>
      </c>
      <c r="B46" s="49">
        <v>4048</v>
      </c>
      <c r="C46" s="19"/>
      <c r="D46" s="83" t="s">
        <v>301</v>
      </c>
      <c r="E46" s="175" t="s">
        <v>279</v>
      </c>
      <c r="F46" s="85">
        <f>TRUNC(TabelaMatriz!I7/2,2)</f>
        <v>9.91</v>
      </c>
      <c r="G46" s="84" t="s">
        <v>216</v>
      </c>
      <c r="H46" s="84">
        <f t="shared" si="6"/>
        <v>1.98</v>
      </c>
      <c r="I46" s="84">
        <f t="shared" si="7"/>
        <v>0.49</v>
      </c>
      <c r="J46" s="84">
        <f t="shared" si="8"/>
        <v>0.49</v>
      </c>
      <c r="K46" s="84">
        <f t="shared" si="9"/>
        <v>0.39</v>
      </c>
      <c r="L46" s="84">
        <v>0.39</v>
      </c>
      <c r="M46" s="84" t="s">
        <v>34</v>
      </c>
      <c r="N46" s="84" t="s">
        <v>34</v>
      </c>
      <c r="O46" s="163">
        <f t="shared" si="10"/>
        <v>13.650000000000002</v>
      </c>
    </row>
    <row r="47" spans="1:15" ht="20.25" customHeight="1">
      <c r="A47" s="49">
        <v>4022</v>
      </c>
      <c r="B47" s="49">
        <v>4044</v>
      </c>
      <c r="C47" s="19"/>
      <c r="D47" s="83" t="s">
        <v>217</v>
      </c>
      <c r="E47" s="93" t="s">
        <v>285</v>
      </c>
      <c r="F47" s="85">
        <f>TabelaMatriz!I6+TabelaMatriz!I7</f>
        <v>20.68</v>
      </c>
      <c r="G47" s="84" t="s">
        <v>216</v>
      </c>
      <c r="H47" s="84">
        <f t="shared" si="6"/>
        <v>4.13</v>
      </c>
      <c r="I47" s="84">
        <f t="shared" si="7"/>
        <v>1.03</v>
      </c>
      <c r="J47" s="84">
        <f t="shared" si="8"/>
        <v>1.03</v>
      </c>
      <c r="K47" s="84">
        <f t="shared" si="9"/>
        <v>0.82</v>
      </c>
      <c r="L47" s="84">
        <v>0.82</v>
      </c>
      <c r="M47" s="84" t="s">
        <v>34</v>
      </c>
      <c r="N47" s="84" t="s">
        <v>34</v>
      </c>
      <c r="O47" s="163">
        <f t="shared" si="10"/>
        <v>28.51</v>
      </c>
    </row>
    <row r="48" spans="1:15" ht="20.25" customHeight="1">
      <c r="A48" s="49">
        <v>4022</v>
      </c>
      <c r="B48" s="49">
        <v>4044</v>
      </c>
      <c r="C48" s="19"/>
      <c r="D48" s="83" t="s">
        <v>218</v>
      </c>
      <c r="E48" s="93" t="s">
        <v>281</v>
      </c>
      <c r="F48" s="85">
        <f>TabelaMatriz!I6*2+TabelaMatriz!I7</f>
        <v>21.54</v>
      </c>
      <c r="G48" s="84" t="s">
        <v>216</v>
      </c>
      <c r="H48" s="84">
        <f t="shared" si="6"/>
        <v>4.3</v>
      </c>
      <c r="I48" s="84">
        <f t="shared" si="7"/>
        <v>1.07</v>
      </c>
      <c r="J48" s="84">
        <f t="shared" si="8"/>
        <v>1.07</v>
      </c>
      <c r="K48" s="84">
        <f t="shared" si="9"/>
        <v>0.86</v>
      </c>
      <c r="L48" s="84">
        <v>0.86</v>
      </c>
      <c r="M48" s="84" t="s">
        <v>34</v>
      </c>
      <c r="N48" s="84" t="s">
        <v>34</v>
      </c>
      <c r="O48" s="163">
        <f t="shared" si="10"/>
        <v>29.7</v>
      </c>
    </row>
    <row r="49" spans="1:15" ht="20.25" customHeight="1">
      <c r="A49" s="49">
        <v>4022</v>
      </c>
      <c r="B49" s="49">
        <v>4044</v>
      </c>
      <c r="C49" s="19"/>
      <c r="D49" s="83" t="s">
        <v>290</v>
      </c>
      <c r="E49" s="93" t="s">
        <v>282</v>
      </c>
      <c r="F49" s="85">
        <f>TabelaMatriz!I6+TabelaMatriz!I7+TabelaMatriz!I9</f>
        <v>31.03</v>
      </c>
      <c r="G49" s="84" t="s">
        <v>216</v>
      </c>
      <c r="H49" s="84">
        <f t="shared" si="6"/>
        <v>6.2</v>
      </c>
      <c r="I49" s="84">
        <f t="shared" si="7"/>
        <v>1.55</v>
      </c>
      <c r="J49" s="84">
        <f t="shared" si="8"/>
        <v>1.55</v>
      </c>
      <c r="K49" s="84">
        <f t="shared" si="9"/>
        <v>1.24</v>
      </c>
      <c r="L49" s="84">
        <v>1.24</v>
      </c>
      <c r="M49" s="84" t="s">
        <v>34</v>
      </c>
      <c r="N49" s="84" t="s">
        <v>34</v>
      </c>
      <c r="O49" s="163">
        <f t="shared" si="10"/>
        <v>42.81</v>
      </c>
    </row>
    <row r="50" spans="1:15" ht="20.25" customHeight="1">
      <c r="A50" s="49">
        <v>4022</v>
      </c>
      <c r="B50" s="49">
        <v>4044</v>
      </c>
      <c r="C50" s="19"/>
      <c r="D50" s="83" t="s">
        <v>289</v>
      </c>
      <c r="E50" s="93" t="s">
        <v>283</v>
      </c>
      <c r="F50" s="85">
        <f>TabelaMatriz!I6*2+TabelaMatriz!I7+TabelaMatriz!I9</f>
        <v>31.89</v>
      </c>
      <c r="G50" s="84" t="s">
        <v>216</v>
      </c>
      <c r="H50" s="84">
        <f t="shared" si="6"/>
        <v>6.37</v>
      </c>
      <c r="I50" s="84">
        <f t="shared" si="7"/>
        <v>1.59</v>
      </c>
      <c r="J50" s="84">
        <f t="shared" si="8"/>
        <v>1.59</v>
      </c>
      <c r="K50" s="84">
        <f t="shared" si="9"/>
        <v>1.27</v>
      </c>
      <c r="L50" s="84">
        <v>1.27</v>
      </c>
      <c r="M50" s="84" t="s">
        <v>34</v>
      </c>
      <c r="N50" s="84" t="s">
        <v>34</v>
      </c>
      <c r="O50" s="163">
        <f t="shared" si="10"/>
        <v>43.980000000000011</v>
      </c>
    </row>
    <row r="51" spans="1:15" ht="20.25" customHeight="1">
      <c r="A51" s="49">
        <v>4022</v>
      </c>
      <c r="B51" s="49">
        <v>4044</v>
      </c>
      <c r="C51" s="19"/>
      <c r="D51" s="83" t="s">
        <v>288</v>
      </c>
      <c r="E51" s="93" t="s">
        <v>282</v>
      </c>
      <c r="F51" s="85">
        <f>TabelaMatriz!I6+TabelaMatriz!I7+TabelaMatriz!I9</f>
        <v>31.03</v>
      </c>
      <c r="G51" s="84" t="s">
        <v>216</v>
      </c>
      <c r="H51" s="84">
        <f t="shared" si="6"/>
        <v>6.2</v>
      </c>
      <c r="I51" s="84">
        <f t="shared" si="7"/>
        <v>1.55</v>
      </c>
      <c r="J51" s="84">
        <f t="shared" si="8"/>
        <v>1.55</v>
      </c>
      <c r="K51" s="84">
        <f t="shared" si="9"/>
        <v>1.24</v>
      </c>
      <c r="L51" s="84">
        <v>1.24</v>
      </c>
      <c r="M51" s="84" t="s">
        <v>34</v>
      </c>
      <c r="N51" s="84" t="s">
        <v>34</v>
      </c>
      <c r="O51" s="163">
        <f t="shared" si="10"/>
        <v>42.81</v>
      </c>
    </row>
    <row r="52" spans="1:15" ht="20.25" customHeight="1">
      <c r="A52" s="49">
        <v>4022</v>
      </c>
      <c r="B52" s="49">
        <v>4044</v>
      </c>
      <c r="C52" s="19"/>
      <c r="D52" s="83" t="s">
        <v>287</v>
      </c>
      <c r="E52" s="93" t="s">
        <v>284</v>
      </c>
      <c r="F52" s="85">
        <f>TabelaMatriz!I6*2+TabelaMatriz!I7+TabelaMatriz!I9</f>
        <v>31.89</v>
      </c>
      <c r="G52" s="84" t="s">
        <v>216</v>
      </c>
      <c r="H52" s="84">
        <f t="shared" si="6"/>
        <v>6.37</v>
      </c>
      <c r="I52" s="84">
        <f t="shared" si="7"/>
        <v>1.59</v>
      </c>
      <c r="J52" s="84">
        <f t="shared" si="8"/>
        <v>1.59</v>
      </c>
      <c r="K52" s="84">
        <f t="shared" si="9"/>
        <v>1.27</v>
      </c>
      <c r="L52" s="84">
        <v>1.27</v>
      </c>
      <c r="M52" s="84" t="s">
        <v>34</v>
      </c>
      <c r="N52" s="84" t="s">
        <v>34</v>
      </c>
      <c r="O52" s="163">
        <f t="shared" si="10"/>
        <v>43.980000000000011</v>
      </c>
    </row>
    <row r="53" spans="1:15" ht="20.25" customHeight="1">
      <c r="A53" s="49">
        <v>4022</v>
      </c>
      <c r="B53" s="49">
        <v>4044</v>
      </c>
      <c r="C53" s="19"/>
      <c r="D53" s="83" t="s">
        <v>286</v>
      </c>
      <c r="E53" s="93" t="s">
        <v>291</v>
      </c>
      <c r="F53" s="85">
        <f>TabelaMatriz!I7</f>
        <v>19.82</v>
      </c>
      <c r="G53" s="84" t="s">
        <v>216</v>
      </c>
      <c r="H53" s="84">
        <f>TRUNC(F53*0.2,2)</f>
        <v>3.96</v>
      </c>
      <c r="I53" s="84">
        <f>TRUNC(F53*0.05,2)</f>
        <v>0.99</v>
      </c>
      <c r="J53" s="84">
        <f>TRUNC(F53*0.05,2)</f>
        <v>0.99</v>
      </c>
      <c r="K53" s="84">
        <f>TRUNC(F53*0.04,2)</f>
        <v>0.79</v>
      </c>
      <c r="L53" s="84">
        <v>0.79</v>
      </c>
      <c r="M53" s="84" t="s">
        <v>34</v>
      </c>
      <c r="N53" s="84" t="s">
        <v>34</v>
      </c>
      <c r="O53" s="163">
        <f>SUM(F53:N53)</f>
        <v>27.339999999999996</v>
      </c>
    </row>
    <row r="54" spans="1:15" ht="18" customHeight="1">
      <c r="A54" s="50">
        <v>4023</v>
      </c>
      <c r="B54" s="50">
        <v>4046</v>
      </c>
      <c r="C54" s="19"/>
      <c r="D54" s="252" t="s">
        <v>299</v>
      </c>
      <c r="E54" s="175" t="s">
        <v>280</v>
      </c>
      <c r="F54" s="258">
        <f>TabelaMatriz!I7</f>
        <v>19.82</v>
      </c>
      <c r="G54" s="84" t="s">
        <v>216</v>
      </c>
      <c r="H54" s="84">
        <f t="shared" si="6"/>
        <v>3.96</v>
      </c>
      <c r="I54" s="84">
        <f t="shared" si="7"/>
        <v>0.99</v>
      </c>
      <c r="J54" s="84">
        <f t="shared" si="8"/>
        <v>0.99</v>
      </c>
      <c r="K54" s="84">
        <f t="shared" si="9"/>
        <v>0.79</v>
      </c>
      <c r="L54" s="84">
        <v>0.79</v>
      </c>
      <c r="M54" s="84" t="s">
        <v>34</v>
      </c>
      <c r="N54" s="84" t="s">
        <v>34</v>
      </c>
      <c r="O54" s="163">
        <f t="shared" si="10"/>
        <v>27.339999999999996</v>
      </c>
    </row>
    <row r="55" spans="1:15" ht="18" customHeight="1">
      <c r="A55" s="50">
        <v>4026</v>
      </c>
      <c r="B55" s="50">
        <v>4041</v>
      </c>
      <c r="C55" s="19"/>
      <c r="D55" s="260" t="s">
        <v>320</v>
      </c>
      <c r="E55" s="259" t="s">
        <v>321</v>
      </c>
      <c r="F55" s="165"/>
      <c r="G55" s="87"/>
      <c r="H55" s="87"/>
      <c r="I55" s="87"/>
      <c r="J55" s="87"/>
      <c r="K55" s="87"/>
      <c r="L55" s="87"/>
      <c r="M55" s="87"/>
      <c r="N55" s="87"/>
      <c r="O55" s="164"/>
    </row>
    <row r="56" spans="1:15">
      <c r="C56" s="19"/>
      <c r="E56" s="19"/>
      <c r="F56" s="19"/>
      <c r="G56" s="19"/>
      <c r="H56" s="19"/>
      <c r="I56" s="19"/>
      <c r="J56" s="19"/>
      <c r="K56" s="19"/>
      <c r="L56" s="19"/>
      <c r="M56" s="19"/>
      <c r="N56" s="19"/>
      <c r="O56" s="19"/>
    </row>
    <row r="57" spans="1:15">
      <c r="C57" s="19"/>
      <c r="D57" s="65"/>
      <c r="E57" s="19"/>
      <c r="F57" s="19"/>
      <c r="G57" s="19"/>
      <c r="H57" s="19"/>
      <c r="I57" s="19"/>
      <c r="J57" s="19"/>
      <c r="K57" s="19"/>
      <c r="L57" s="19"/>
      <c r="M57" s="19"/>
      <c r="N57" s="19"/>
      <c r="O57" s="19"/>
    </row>
    <row r="58" spans="1:15" ht="15.75">
      <c r="C58" s="19"/>
      <c r="D58" s="90"/>
      <c r="E58" s="19"/>
      <c r="F58" s="19"/>
      <c r="G58" s="19"/>
      <c r="H58" s="19"/>
      <c r="I58" s="19"/>
      <c r="J58" s="19"/>
      <c r="K58" s="19"/>
      <c r="L58" s="19"/>
      <c r="M58" s="19"/>
      <c r="N58" s="19"/>
      <c r="O58" s="19"/>
    </row>
  </sheetData>
  <mergeCells count="30">
    <mergeCell ref="O37:O38"/>
    <mergeCell ref="J37:J38"/>
    <mergeCell ref="F37:F38"/>
    <mergeCell ref="G37:G38"/>
    <mergeCell ref="L3:L4"/>
    <mergeCell ref="L37:L38"/>
    <mergeCell ref="N37:N38"/>
    <mergeCell ref="H37:H38"/>
    <mergeCell ref="I37:I38"/>
    <mergeCell ref="F3:F4"/>
    <mergeCell ref="K37:K38"/>
    <mergeCell ref="M37:M38"/>
    <mergeCell ref="G3:G4"/>
    <mergeCell ref="A41:A42"/>
    <mergeCell ref="B41:B42"/>
    <mergeCell ref="A37:B37"/>
    <mergeCell ref="D37:D38"/>
    <mergeCell ref="E37:E38"/>
    <mergeCell ref="A1:G1"/>
    <mergeCell ref="H1:O1"/>
    <mergeCell ref="H3:H4"/>
    <mergeCell ref="A3:B3"/>
    <mergeCell ref="N3:N4"/>
    <mergeCell ref="O3:O4"/>
    <mergeCell ref="I3:I4"/>
    <mergeCell ref="J3:J4"/>
    <mergeCell ref="K3:K4"/>
    <mergeCell ref="M3:M4"/>
    <mergeCell ref="C3:D4"/>
    <mergeCell ref="E3:E4"/>
  </mergeCells>
  <phoneticPr fontId="15" type="noConversion"/>
  <printOptions horizontalCentered="1"/>
  <pageMargins left="0.19685039370078741" right="0.19685039370078741" top="0.78740157480314965" bottom="0.39370078740157483" header="0.51181102362204722" footer="0.39370078740157483"/>
  <pageSetup paperSize="9" scale="80" orientation="landscape" horizontalDpi="300" verticalDpi="300" r:id="rId1"/>
  <headerFooter alignWithMargins="0"/>
  <ignoredErrors>
    <ignoredError sqref="F50:F51" formula="1"/>
  </ignoredErrors>
</worksheet>
</file>

<file path=xl/worksheets/sheet7.xml><?xml version="1.0" encoding="utf-8"?>
<worksheet xmlns="http://schemas.openxmlformats.org/spreadsheetml/2006/main" xmlns:r="http://schemas.openxmlformats.org/officeDocument/2006/relationships">
  <sheetPr>
    <tabColor indexed="22"/>
  </sheetPr>
  <dimension ref="A1:S69"/>
  <sheetViews>
    <sheetView showGridLines="0" topLeftCell="A82" zoomScale="75" zoomScaleNormal="75" workbookViewId="0">
      <selection activeCell="O18" sqref="O18"/>
    </sheetView>
  </sheetViews>
  <sheetFormatPr defaultRowHeight="15.75"/>
  <cols>
    <col min="1" max="1" width="6.140625" style="2" customWidth="1"/>
    <col min="2" max="2" width="26.42578125" customWidth="1"/>
    <col min="3" max="3" width="8.7109375" customWidth="1"/>
    <col min="4" max="4" width="9.5703125" customWidth="1"/>
    <col min="5" max="5" width="10.28515625" customWidth="1"/>
    <col min="6" max="6" width="12" customWidth="1"/>
    <col min="7" max="7" width="9.28515625" style="1" customWidth="1"/>
    <col min="8" max="8" width="8.42578125" customWidth="1"/>
    <col min="9" max="9" width="8.7109375" customWidth="1"/>
    <col min="10" max="10" width="9.85546875" customWidth="1"/>
    <col min="11" max="11" width="8.42578125" customWidth="1"/>
    <col min="12" max="12" width="9" customWidth="1"/>
    <col min="13" max="13" width="7.5703125" customWidth="1"/>
    <col min="14" max="14" width="8.28515625" customWidth="1"/>
    <col min="15" max="15" width="7.140625" customWidth="1"/>
    <col min="16" max="16" width="8.28515625" customWidth="1"/>
    <col min="17" max="17" width="9" customWidth="1"/>
    <col min="18" max="18" width="5.85546875" customWidth="1"/>
    <col min="19" max="19" width="10.5703125" style="126" customWidth="1"/>
  </cols>
  <sheetData>
    <row r="1" spans="1:19" ht="11.25" customHeight="1">
      <c r="A1" s="835" t="str">
        <f>TabelaMatriz!B1</f>
        <v>PORTARIA n.º 3210/2017</v>
      </c>
      <c r="B1" s="836"/>
      <c r="C1" s="836"/>
      <c r="D1" s="836"/>
      <c r="E1" s="836"/>
      <c r="F1" s="837"/>
      <c r="G1" s="833" t="s">
        <v>264</v>
      </c>
      <c r="H1" s="833"/>
      <c r="I1" s="833"/>
      <c r="J1" s="833"/>
      <c r="K1" s="833"/>
      <c r="L1" s="833"/>
      <c r="M1" s="833"/>
      <c r="N1" s="833"/>
      <c r="O1" s="833"/>
      <c r="P1" s="833"/>
      <c r="Q1" s="833"/>
      <c r="R1" s="833"/>
      <c r="S1" s="833"/>
    </row>
    <row r="2" spans="1:19" ht="14.25" customHeight="1">
      <c r="A2" s="838"/>
      <c r="B2" s="839"/>
      <c r="C2" s="839"/>
      <c r="D2" s="839"/>
      <c r="E2" s="839"/>
      <c r="F2" s="840"/>
      <c r="G2" s="833"/>
      <c r="H2" s="833"/>
      <c r="I2" s="833"/>
      <c r="J2" s="833"/>
      <c r="K2" s="833"/>
      <c r="L2" s="833"/>
      <c r="M2" s="833"/>
      <c r="N2" s="833"/>
      <c r="O2" s="833"/>
      <c r="P2" s="833"/>
      <c r="Q2" s="833"/>
      <c r="R2" s="833"/>
      <c r="S2" s="833"/>
    </row>
    <row r="3" spans="1:19" ht="4.5" customHeight="1">
      <c r="A3" s="338"/>
      <c r="B3" s="339"/>
      <c r="C3" s="339"/>
      <c r="D3" s="340"/>
      <c r="E3" s="339"/>
      <c r="F3" s="341"/>
      <c r="G3" s="350"/>
      <c r="H3" s="1"/>
      <c r="I3" s="1"/>
      <c r="J3" s="1"/>
      <c r="K3" s="1"/>
      <c r="L3" s="1"/>
      <c r="M3" s="1"/>
      <c r="N3" s="1"/>
      <c r="O3" s="1"/>
      <c r="P3" s="1"/>
      <c r="Q3" s="1"/>
      <c r="R3" s="1"/>
      <c r="S3" s="125"/>
    </row>
    <row r="4" spans="1:19" ht="17.25" customHeight="1">
      <c r="A4" s="248"/>
      <c r="B4" s="834" t="s">
        <v>389</v>
      </c>
      <c r="C4" s="834"/>
      <c r="D4" s="834"/>
      <c r="E4" s="834"/>
      <c r="F4" s="834"/>
      <c r="G4" s="841" t="s">
        <v>252</v>
      </c>
      <c r="H4" s="172" t="s">
        <v>257</v>
      </c>
      <c r="I4" s="622" t="s">
        <v>258</v>
      </c>
      <c r="J4" s="830" t="s">
        <v>180</v>
      </c>
      <c r="K4" s="624" t="s">
        <v>261</v>
      </c>
      <c r="L4" s="624" t="s">
        <v>262</v>
      </c>
      <c r="M4" s="624" t="s">
        <v>263</v>
      </c>
      <c r="N4" s="624" t="s">
        <v>259</v>
      </c>
      <c r="O4" s="624" t="s">
        <v>488</v>
      </c>
      <c r="P4" s="624" t="s">
        <v>260</v>
      </c>
      <c r="Q4" s="624" t="s">
        <v>302</v>
      </c>
      <c r="R4" s="624" t="s">
        <v>37</v>
      </c>
      <c r="S4" s="829" t="s">
        <v>490</v>
      </c>
    </row>
    <row r="5" spans="1:19" ht="14.25" customHeight="1">
      <c r="A5" s="248"/>
      <c r="B5" s="834" t="s">
        <v>390</v>
      </c>
      <c r="C5" s="834"/>
      <c r="D5" s="834"/>
      <c r="E5" s="834"/>
      <c r="F5" s="834"/>
      <c r="G5" s="841"/>
      <c r="H5" s="173" t="s">
        <v>235</v>
      </c>
      <c r="I5" s="623"/>
      <c r="J5" s="830"/>
      <c r="K5" s="625"/>
      <c r="L5" s="625"/>
      <c r="M5" s="625"/>
      <c r="N5" s="625"/>
      <c r="O5" s="625"/>
      <c r="P5" s="625"/>
      <c r="Q5" s="625"/>
      <c r="R5" s="625"/>
      <c r="S5" s="737"/>
    </row>
    <row r="6" spans="1:19" ht="12.75" customHeight="1">
      <c r="A6" s="248"/>
      <c r="B6" s="831"/>
      <c r="C6" s="831"/>
      <c r="D6" s="831"/>
      <c r="E6" s="831"/>
      <c r="F6" s="831"/>
      <c r="G6" s="465"/>
      <c r="H6" s="271"/>
      <c r="I6" s="271"/>
      <c r="J6" s="272"/>
      <c r="K6" s="272"/>
      <c r="L6" s="272"/>
      <c r="M6" s="272"/>
      <c r="N6" s="272"/>
      <c r="O6" s="272"/>
      <c r="P6" s="272"/>
      <c r="Q6" s="272"/>
      <c r="R6" s="272"/>
      <c r="S6" s="273"/>
    </row>
    <row r="7" spans="1:19" ht="15" customHeight="1">
      <c r="A7" s="378" t="s">
        <v>401</v>
      </c>
      <c r="B7" s="832" t="s">
        <v>397</v>
      </c>
      <c r="C7" s="832"/>
      <c r="D7" s="832"/>
      <c r="E7" s="832"/>
      <c r="F7" s="832"/>
      <c r="G7" s="466">
        <f>TabelaMatriz!I227</f>
        <v>79.59</v>
      </c>
      <c r="H7" s="352"/>
      <c r="I7" s="352"/>
      <c r="J7" s="467">
        <v>1.59</v>
      </c>
      <c r="K7" s="467"/>
      <c r="L7" s="467"/>
      <c r="M7" s="467"/>
      <c r="N7" s="467"/>
      <c r="O7" s="467"/>
      <c r="P7" s="467"/>
      <c r="Q7" s="467"/>
      <c r="R7" s="467"/>
      <c r="S7" s="468"/>
    </row>
    <row r="8" spans="1:19" ht="8.25" customHeight="1">
      <c r="A8" s="379"/>
      <c r="B8" s="824"/>
      <c r="C8" s="824"/>
      <c r="D8" s="824"/>
      <c r="E8" s="824"/>
      <c r="F8" s="824"/>
      <c r="G8" s="469"/>
      <c r="H8" s="352"/>
      <c r="I8" s="352"/>
      <c r="J8" s="467"/>
      <c r="K8" s="467"/>
      <c r="L8" s="467"/>
      <c r="M8" s="467"/>
      <c r="N8" s="467"/>
      <c r="O8" s="467"/>
      <c r="P8" s="467"/>
      <c r="Q8" s="467"/>
      <c r="R8" s="467"/>
      <c r="S8" s="468"/>
    </row>
    <row r="9" spans="1:19" ht="15" customHeight="1">
      <c r="A9" s="379"/>
      <c r="B9" s="824" t="s">
        <v>398</v>
      </c>
      <c r="C9" s="824"/>
      <c r="D9" s="824"/>
      <c r="E9" s="824"/>
      <c r="F9" s="824"/>
      <c r="G9" s="469"/>
      <c r="H9" s="352"/>
      <c r="I9" s="352"/>
      <c r="J9" s="467"/>
      <c r="K9" s="467"/>
      <c r="L9" s="467"/>
      <c r="M9" s="467"/>
      <c r="N9" s="467"/>
      <c r="O9" s="467"/>
      <c r="P9" s="467"/>
      <c r="Q9" s="467"/>
      <c r="R9" s="467"/>
      <c r="S9" s="468"/>
    </row>
    <row r="10" spans="1:19" ht="15" customHeight="1">
      <c r="A10" s="379"/>
      <c r="B10" s="275" t="s">
        <v>399</v>
      </c>
      <c r="C10" s="380">
        <f>TabelaMatriz!I230</f>
        <v>49.36</v>
      </c>
      <c r="D10" s="381" t="s">
        <v>402</v>
      </c>
      <c r="E10" s="382">
        <f>G7</f>
        <v>79.59</v>
      </c>
      <c r="F10" s="382"/>
      <c r="G10" s="470">
        <f>C10+E10</f>
        <v>128.94999999999999</v>
      </c>
      <c r="H10" s="352">
        <f>+TabelaMatriz!$I$10*1</f>
        <v>12</v>
      </c>
      <c r="I10" s="352">
        <f>SUM(G10:H10)</f>
        <v>140.94999999999999</v>
      </c>
      <c r="J10" s="467">
        <f>TRUNC(G10*2%,2)</f>
        <v>2.57</v>
      </c>
      <c r="K10" s="467">
        <f>TRUNC(I10*20%,2)</f>
        <v>28.19</v>
      </c>
      <c r="L10" s="467">
        <f>TRUNC(I10*5%,2)</f>
        <v>7.04</v>
      </c>
      <c r="M10" s="467">
        <f>L10</f>
        <v>7.04</v>
      </c>
      <c r="N10" s="467">
        <f>TRUNC(I10*4%,2)</f>
        <v>5.63</v>
      </c>
      <c r="O10" s="203">
        <v>5.63</v>
      </c>
      <c r="P10" s="467">
        <v>0</v>
      </c>
      <c r="Q10" s="467">
        <v>0</v>
      </c>
      <c r="R10" s="467">
        <f>TabelaMatriz!$I$293</f>
        <v>26.939999999999998</v>
      </c>
      <c r="S10" s="468">
        <f>SUM(I10:R10)</f>
        <v>223.98999999999995</v>
      </c>
    </row>
    <row r="11" spans="1:19" ht="15" customHeight="1">
      <c r="A11" s="379"/>
      <c r="B11" s="275" t="s">
        <v>400</v>
      </c>
      <c r="C11" s="380">
        <f>TabelaMatriz!I231</f>
        <v>230.54</v>
      </c>
      <c r="D11" s="381" t="s">
        <v>402</v>
      </c>
      <c r="E11" s="382">
        <f>G7</f>
        <v>79.59</v>
      </c>
      <c r="F11" s="382"/>
      <c r="G11" s="470">
        <f>C11+E11</f>
        <v>310.13</v>
      </c>
      <c r="H11" s="352">
        <f>+TabelaMatriz!$I$10*1</f>
        <v>12</v>
      </c>
      <c r="I11" s="352">
        <f>SUM(G11:H11)</f>
        <v>322.13</v>
      </c>
      <c r="J11" s="467">
        <f>TRUNC(G11*2%,2)</f>
        <v>6.2</v>
      </c>
      <c r="K11" s="467">
        <f t="shared" ref="K11:K62" si="0">TRUNC(I11*20%,2)</f>
        <v>64.42</v>
      </c>
      <c r="L11" s="467">
        <f t="shared" ref="L11:L62" si="1">TRUNC(I11*5%,2)</f>
        <v>16.100000000000001</v>
      </c>
      <c r="M11" s="467">
        <f t="shared" ref="M11:M62" si="2">L11</f>
        <v>16.100000000000001</v>
      </c>
      <c r="N11" s="467">
        <f t="shared" ref="N11:N62" si="3">TRUNC(I11*4%,2)</f>
        <v>12.88</v>
      </c>
      <c r="O11" s="203">
        <v>12.88</v>
      </c>
      <c r="P11" s="467">
        <v>0</v>
      </c>
      <c r="Q11" s="467">
        <v>0</v>
      </c>
      <c r="R11" s="467">
        <f>TabelaMatriz!$I$293</f>
        <v>26.939999999999998</v>
      </c>
      <c r="S11" s="468">
        <f>SUM(I11:R11)</f>
        <v>477.65000000000003</v>
      </c>
    </row>
    <row r="12" spans="1:19" ht="10.5" customHeight="1">
      <c r="A12" s="379"/>
      <c r="B12" s="824"/>
      <c r="C12" s="824"/>
      <c r="D12" s="824"/>
      <c r="E12" s="824"/>
      <c r="F12" s="824"/>
      <c r="G12" s="471"/>
      <c r="H12" s="352"/>
      <c r="I12" s="352"/>
      <c r="J12" s="467"/>
      <c r="K12" s="467"/>
      <c r="L12" s="467"/>
      <c r="M12" s="467"/>
      <c r="N12" s="467"/>
      <c r="O12" s="203"/>
      <c r="P12" s="467"/>
      <c r="Q12" s="467"/>
      <c r="R12" s="467"/>
      <c r="S12" s="468"/>
    </row>
    <row r="13" spans="1:19" ht="13.5" customHeight="1">
      <c r="A13" s="249"/>
      <c r="B13" s="832" t="s">
        <v>391</v>
      </c>
      <c r="C13" s="832"/>
      <c r="D13" s="832"/>
      <c r="E13" s="832"/>
      <c r="F13" s="275"/>
      <c r="G13" s="471"/>
      <c r="H13" s="352"/>
      <c r="I13" s="352"/>
      <c r="J13" s="467"/>
      <c r="K13" s="467"/>
      <c r="L13" s="467"/>
      <c r="M13" s="467"/>
      <c r="N13" s="467"/>
      <c r="O13" s="203"/>
      <c r="P13" s="467"/>
      <c r="Q13" s="467"/>
      <c r="R13" s="467"/>
      <c r="S13" s="468"/>
    </row>
    <row r="14" spans="1:19" ht="8.25" customHeight="1">
      <c r="A14" s="249"/>
      <c r="B14" s="335"/>
      <c r="C14" s="335"/>
      <c r="D14" s="335"/>
      <c r="E14" s="335"/>
      <c r="F14" s="275"/>
      <c r="G14" s="471"/>
      <c r="H14" s="352"/>
      <c r="I14" s="352"/>
      <c r="J14" s="467"/>
      <c r="K14" s="467"/>
      <c r="L14" s="467"/>
      <c r="M14" s="467"/>
      <c r="N14" s="467"/>
      <c r="O14" s="203"/>
      <c r="P14" s="467"/>
      <c r="Q14" s="467"/>
      <c r="R14" s="467"/>
      <c r="S14" s="468"/>
    </row>
    <row r="15" spans="1:19" ht="15" customHeight="1">
      <c r="A15" s="248">
        <v>6037</v>
      </c>
      <c r="B15" s="826" t="s">
        <v>392</v>
      </c>
      <c r="C15" s="826"/>
      <c r="D15" s="826"/>
      <c r="E15" s="826"/>
      <c r="F15" s="826"/>
      <c r="G15" s="466">
        <f>TabelaMatriz!I235</f>
        <v>398.64</v>
      </c>
      <c r="H15" s="352">
        <f>+TabelaMatriz!$I$10*1</f>
        <v>12</v>
      </c>
      <c r="I15" s="352">
        <f t="shared" ref="I15:I22" si="4">SUM(G15:H15)</f>
        <v>410.64</v>
      </c>
      <c r="J15" s="467">
        <f t="shared" ref="J15:J22" si="5">TRUNC(G15*2%,2)</f>
        <v>7.97</v>
      </c>
      <c r="K15" s="467">
        <f t="shared" si="0"/>
        <v>82.12</v>
      </c>
      <c r="L15" s="467">
        <f t="shared" si="1"/>
        <v>20.53</v>
      </c>
      <c r="M15" s="467">
        <f t="shared" si="2"/>
        <v>20.53</v>
      </c>
      <c r="N15" s="467">
        <f t="shared" si="3"/>
        <v>16.420000000000002</v>
      </c>
      <c r="O15" s="203">
        <v>16.420000000000002</v>
      </c>
      <c r="P15" s="467">
        <v>0</v>
      </c>
      <c r="Q15" s="467">
        <v>0</v>
      </c>
      <c r="R15" s="467">
        <f>TabelaMatriz!$I$293</f>
        <v>26.939999999999998</v>
      </c>
      <c r="S15" s="468">
        <f t="shared" ref="S15:S36" si="6">SUM(I15:R15)</f>
        <v>601.56999999999994</v>
      </c>
    </row>
    <row r="16" spans="1:19" ht="14.25" customHeight="1">
      <c r="A16" s="248">
        <v>6038</v>
      </c>
      <c r="B16" s="826" t="s">
        <v>393</v>
      </c>
      <c r="C16" s="826"/>
      <c r="D16" s="826"/>
      <c r="E16" s="826"/>
      <c r="F16" s="826"/>
      <c r="G16" s="466">
        <f>TabelaMatriz!I236</f>
        <v>432.93</v>
      </c>
      <c r="H16" s="352">
        <f>+TabelaMatriz!$I$10*1</f>
        <v>12</v>
      </c>
      <c r="I16" s="352">
        <f t="shared" si="4"/>
        <v>444.93</v>
      </c>
      <c r="J16" s="467">
        <f t="shared" si="5"/>
        <v>8.65</v>
      </c>
      <c r="K16" s="467">
        <f t="shared" si="0"/>
        <v>88.98</v>
      </c>
      <c r="L16" s="467">
        <f t="shared" si="1"/>
        <v>22.24</v>
      </c>
      <c r="M16" s="467">
        <f t="shared" si="2"/>
        <v>22.24</v>
      </c>
      <c r="N16" s="467">
        <f t="shared" si="3"/>
        <v>17.79</v>
      </c>
      <c r="O16" s="203">
        <v>17.79</v>
      </c>
      <c r="P16" s="467">
        <v>0</v>
      </c>
      <c r="Q16" s="467">
        <v>0</v>
      </c>
      <c r="R16" s="467">
        <f>TabelaMatriz!$I$293</f>
        <v>26.939999999999998</v>
      </c>
      <c r="S16" s="468">
        <f t="shared" si="6"/>
        <v>649.55999999999995</v>
      </c>
    </row>
    <row r="17" spans="1:19" ht="15" customHeight="1">
      <c r="A17" s="248">
        <v>6039</v>
      </c>
      <c r="B17" s="826" t="s">
        <v>394</v>
      </c>
      <c r="C17" s="826"/>
      <c r="D17" s="826"/>
      <c r="E17" s="826"/>
      <c r="F17" s="826"/>
      <c r="G17" s="466">
        <f>TabelaMatriz!I237</f>
        <v>467.17</v>
      </c>
      <c r="H17" s="352">
        <f>+TabelaMatriz!$I$10*1</f>
        <v>12</v>
      </c>
      <c r="I17" s="352">
        <f t="shared" si="4"/>
        <v>479.17</v>
      </c>
      <c r="J17" s="467">
        <f t="shared" si="5"/>
        <v>9.34</v>
      </c>
      <c r="K17" s="467">
        <f t="shared" si="0"/>
        <v>95.83</v>
      </c>
      <c r="L17" s="467">
        <f t="shared" si="1"/>
        <v>23.95</v>
      </c>
      <c r="M17" s="467">
        <f t="shared" si="2"/>
        <v>23.95</v>
      </c>
      <c r="N17" s="467">
        <f t="shared" si="3"/>
        <v>19.16</v>
      </c>
      <c r="O17" s="203">
        <v>19.16</v>
      </c>
      <c r="P17" s="467">
        <v>0</v>
      </c>
      <c r="Q17" s="467">
        <v>0</v>
      </c>
      <c r="R17" s="467">
        <f>TabelaMatriz!$I$293</f>
        <v>26.939999999999998</v>
      </c>
      <c r="S17" s="468">
        <f t="shared" si="6"/>
        <v>697.5</v>
      </c>
    </row>
    <row r="18" spans="1:19" ht="15" customHeight="1">
      <c r="A18" s="248">
        <v>6040</v>
      </c>
      <c r="B18" s="826" t="s">
        <v>395</v>
      </c>
      <c r="C18" s="826"/>
      <c r="D18" s="826"/>
      <c r="E18" s="826"/>
      <c r="F18" s="826"/>
      <c r="G18" s="466">
        <f>TabelaMatriz!I238</f>
        <v>535.75</v>
      </c>
      <c r="H18" s="352">
        <f>+TabelaMatriz!$I$10*1</f>
        <v>12</v>
      </c>
      <c r="I18" s="352">
        <f t="shared" si="4"/>
        <v>547.75</v>
      </c>
      <c r="J18" s="467">
        <f t="shared" si="5"/>
        <v>10.71</v>
      </c>
      <c r="K18" s="467">
        <f t="shared" si="0"/>
        <v>109.55</v>
      </c>
      <c r="L18" s="467">
        <f t="shared" si="1"/>
        <v>27.38</v>
      </c>
      <c r="M18" s="467">
        <f t="shared" si="2"/>
        <v>27.38</v>
      </c>
      <c r="N18" s="467">
        <f t="shared" si="3"/>
        <v>21.91</v>
      </c>
      <c r="O18" s="203">
        <v>21.91</v>
      </c>
      <c r="P18" s="467">
        <v>0</v>
      </c>
      <c r="Q18" s="467">
        <v>0</v>
      </c>
      <c r="R18" s="467">
        <f>TabelaMatriz!$I$293</f>
        <v>26.939999999999998</v>
      </c>
      <c r="S18" s="468">
        <f t="shared" si="6"/>
        <v>793.53</v>
      </c>
    </row>
    <row r="19" spans="1:19" ht="13.5" customHeight="1">
      <c r="A19" s="248">
        <v>6041</v>
      </c>
      <c r="B19" s="822" t="s">
        <v>396</v>
      </c>
      <c r="C19" s="822"/>
      <c r="D19" s="822"/>
      <c r="E19" s="822"/>
      <c r="F19" s="822"/>
      <c r="G19" s="466">
        <f>TabelaMatriz!I239</f>
        <v>581.44000000000005</v>
      </c>
      <c r="H19" s="352">
        <f>+TabelaMatriz!$I$10*1</f>
        <v>12</v>
      </c>
      <c r="I19" s="352">
        <f t="shared" si="4"/>
        <v>593.44000000000005</v>
      </c>
      <c r="J19" s="467">
        <f t="shared" si="5"/>
        <v>11.62</v>
      </c>
      <c r="K19" s="467">
        <f t="shared" si="0"/>
        <v>118.68</v>
      </c>
      <c r="L19" s="467">
        <f t="shared" si="1"/>
        <v>29.67</v>
      </c>
      <c r="M19" s="467">
        <f t="shared" si="2"/>
        <v>29.67</v>
      </c>
      <c r="N19" s="467">
        <f t="shared" si="3"/>
        <v>23.73</v>
      </c>
      <c r="O19" s="203">
        <v>23.73</v>
      </c>
      <c r="P19" s="467">
        <v>0</v>
      </c>
      <c r="Q19" s="467">
        <v>0</v>
      </c>
      <c r="R19" s="467">
        <f>TabelaMatriz!$I$293</f>
        <v>26.939999999999998</v>
      </c>
      <c r="S19" s="468">
        <f t="shared" si="6"/>
        <v>857.48</v>
      </c>
    </row>
    <row r="20" spans="1:19" ht="14.25" customHeight="1">
      <c r="A20" s="248">
        <v>6042</v>
      </c>
      <c r="B20" s="827" t="s">
        <v>496</v>
      </c>
      <c r="C20" s="827"/>
      <c r="D20" s="827"/>
      <c r="E20" s="827"/>
      <c r="F20" s="827"/>
      <c r="G20" s="466">
        <f>TabelaMatriz!I240</f>
        <v>91.39</v>
      </c>
      <c r="H20" s="352" t="s">
        <v>34</v>
      </c>
      <c r="I20" s="352">
        <f t="shared" si="4"/>
        <v>91.39</v>
      </c>
      <c r="J20" s="467">
        <f t="shared" si="5"/>
        <v>1.82</v>
      </c>
      <c r="K20" s="467">
        <f t="shared" si="0"/>
        <v>18.27</v>
      </c>
      <c r="L20" s="467">
        <f t="shared" si="1"/>
        <v>4.5599999999999996</v>
      </c>
      <c r="M20" s="467">
        <f t="shared" si="2"/>
        <v>4.5599999999999996</v>
      </c>
      <c r="N20" s="467">
        <f t="shared" si="3"/>
        <v>3.65</v>
      </c>
      <c r="O20" s="203">
        <v>3.65</v>
      </c>
      <c r="P20" s="472" t="s">
        <v>34</v>
      </c>
      <c r="Q20" s="472" t="s">
        <v>34</v>
      </c>
      <c r="R20" s="472" t="s">
        <v>34</v>
      </c>
      <c r="S20" s="468">
        <f t="shared" si="6"/>
        <v>127.9</v>
      </c>
    </row>
    <row r="21" spans="1:19" ht="14.25" customHeight="1">
      <c r="A21" s="248"/>
      <c r="B21" s="822" t="s">
        <v>480</v>
      </c>
      <c r="C21" s="822"/>
      <c r="D21" s="822"/>
      <c r="E21" s="822"/>
      <c r="F21" s="822"/>
      <c r="G21" s="466">
        <f>TabelaMatriz!I241</f>
        <v>2.84</v>
      </c>
      <c r="H21" s="429" t="s">
        <v>34</v>
      </c>
      <c r="I21" s="352">
        <f t="shared" si="4"/>
        <v>2.84</v>
      </c>
      <c r="J21" s="467">
        <f t="shared" si="5"/>
        <v>0.05</v>
      </c>
      <c r="K21" s="467">
        <f t="shared" si="0"/>
        <v>0.56000000000000005</v>
      </c>
      <c r="L21" s="467">
        <f t="shared" si="1"/>
        <v>0.14000000000000001</v>
      </c>
      <c r="M21" s="467">
        <f t="shared" si="2"/>
        <v>0.14000000000000001</v>
      </c>
      <c r="N21" s="467">
        <f t="shared" si="3"/>
        <v>0.11</v>
      </c>
      <c r="O21" s="203">
        <v>0.11</v>
      </c>
      <c r="P21" s="472" t="s">
        <v>34</v>
      </c>
      <c r="Q21" s="472" t="s">
        <v>34</v>
      </c>
      <c r="R21" s="472" t="s">
        <v>34</v>
      </c>
      <c r="S21" s="468">
        <f t="shared" si="6"/>
        <v>3.9499999999999997</v>
      </c>
    </row>
    <row r="22" spans="1:19" ht="14.25" customHeight="1">
      <c r="A22" s="248"/>
      <c r="B22" s="822" t="s">
        <v>479</v>
      </c>
      <c r="C22" s="822"/>
      <c r="D22" s="822"/>
      <c r="E22" s="822"/>
      <c r="F22" s="822"/>
      <c r="G22" s="466">
        <f>TabelaMatriz!I242</f>
        <v>13.02</v>
      </c>
      <c r="H22" s="429" t="s">
        <v>34</v>
      </c>
      <c r="I22" s="352">
        <f t="shared" si="4"/>
        <v>13.02</v>
      </c>
      <c r="J22" s="467">
        <f t="shared" si="5"/>
        <v>0.26</v>
      </c>
      <c r="K22" s="467">
        <f t="shared" si="0"/>
        <v>2.6</v>
      </c>
      <c r="L22" s="467">
        <f t="shared" si="1"/>
        <v>0.65</v>
      </c>
      <c r="M22" s="467">
        <f t="shared" si="2"/>
        <v>0.65</v>
      </c>
      <c r="N22" s="467">
        <f t="shared" si="3"/>
        <v>0.52</v>
      </c>
      <c r="O22" s="203">
        <v>0.52</v>
      </c>
      <c r="P22" s="472" t="s">
        <v>34</v>
      </c>
      <c r="Q22" s="472" t="s">
        <v>34</v>
      </c>
      <c r="R22" s="472" t="s">
        <v>34</v>
      </c>
      <c r="S22" s="468">
        <f t="shared" si="6"/>
        <v>18.219999999999995</v>
      </c>
    </row>
    <row r="23" spans="1:19" ht="8.25" customHeight="1">
      <c r="A23" s="248"/>
      <c r="B23" s="334"/>
      <c r="C23" s="114"/>
      <c r="D23" s="114"/>
      <c r="E23" s="114"/>
      <c r="F23" s="114"/>
      <c r="G23" s="473"/>
      <c r="H23" s="148"/>
      <c r="I23" s="352"/>
      <c r="J23" s="467"/>
      <c r="K23" s="467"/>
      <c r="L23" s="467"/>
      <c r="M23" s="467"/>
      <c r="N23" s="467"/>
      <c r="O23" s="203"/>
      <c r="P23" s="472"/>
      <c r="Q23" s="472"/>
      <c r="R23" s="472"/>
      <c r="S23" s="468"/>
    </row>
    <row r="24" spans="1:19" ht="14.25" customHeight="1">
      <c r="A24" s="248">
        <v>6043</v>
      </c>
      <c r="B24" s="823" t="s">
        <v>387</v>
      </c>
      <c r="C24" s="823"/>
      <c r="D24" s="823"/>
      <c r="E24" s="823"/>
      <c r="F24" s="823"/>
      <c r="G24" s="466">
        <f>TabelaMatriz!I244</f>
        <v>128.88</v>
      </c>
      <c r="H24" s="352">
        <f>+TabelaMatriz!$I$10</f>
        <v>12</v>
      </c>
      <c r="I24" s="352">
        <f>SUM(G24:H24)</f>
        <v>140.88</v>
      </c>
      <c r="J24" s="467">
        <f>TRUNC(G24*2%,2)</f>
        <v>2.57</v>
      </c>
      <c r="K24" s="467">
        <f t="shared" si="0"/>
        <v>28.17</v>
      </c>
      <c r="L24" s="467">
        <f t="shared" si="1"/>
        <v>7.04</v>
      </c>
      <c r="M24" s="467">
        <f t="shared" si="2"/>
        <v>7.04</v>
      </c>
      <c r="N24" s="467">
        <f t="shared" si="3"/>
        <v>5.63</v>
      </c>
      <c r="O24" s="203">
        <v>5.63</v>
      </c>
      <c r="P24" s="467">
        <v>0</v>
      </c>
      <c r="Q24" s="467">
        <v>0</v>
      </c>
      <c r="R24" s="467">
        <f>TabelaMatriz!$I$293</f>
        <v>26.939999999999998</v>
      </c>
      <c r="S24" s="468">
        <f t="shared" si="6"/>
        <v>223.89999999999998</v>
      </c>
    </row>
    <row r="25" spans="1:19" ht="9" customHeight="1">
      <c r="A25" s="248"/>
      <c r="B25" s="115"/>
      <c r="C25" s="115"/>
      <c r="D25" s="115"/>
      <c r="E25" s="115"/>
      <c r="F25" s="115"/>
      <c r="G25" s="474"/>
      <c r="H25" s="352"/>
      <c r="I25" s="352"/>
      <c r="J25" s="467"/>
      <c r="K25" s="467"/>
      <c r="L25" s="467"/>
      <c r="M25" s="467"/>
      <c r="N25" s="467"/>
      <c r="O25" s="203"/>
      <c r="P25" s="467"/>
      <c r="Q25" s="467"/>
      <c r="R25" s="467"/>
      <c r="S25" s="468"/>
    </row>
    <row r="26" spans="1:19" ht="14.25" customHeight="1">
      <c r="A26" s="248"/>
      <c r="B26" s="821" t="s">
        <v>384</v>
      </c>
      <c r="C26" s="822"/>
      <c r="D26" s="822"/>
      <c r="E26" s="822"/>
      <c r="F26" s="822"/>
      <c r="G26" s="466">
        <f>TabelaMatriz!I246</f>
        <v>2.84</v>
      </c>
      <c r="H26" s="429" t="s">
        <v>34</v>
      </c>
      <c r="I26" s="352">
        <f>SUM(G26:H26)</f>
        <v>2.84</v>
      </c>
      <c r="J26" s="467">
        <f>TRUNC(G26*2%,2)</f>
        <v>0.05</v>
      </c>
      <c r="K26" s="467">
        <f t="shared" si="0"/>
        <v>0.56000000000000005</v>
      </c>
      <c r="L26" s="467">
        <f t="shared" si="1"/>
        <v>0.14000000000000001</v>
      </c>
      <c r="M26" s="467">
        <f t="shared" si="2"/>
        <v>0.14000000000000001</v>
      </c>
      <c r="N26" s="467">
        <f t="shared" si="3"/>
        <v>0.11</v>
      </c>
      <c r="O26" s="203">
        <v>0.11</v>
      </c>
      <c r="P26" s="472" t="s">
        <v>34</v>
      </c>
      <c r="Q26" s="472" t="s">
        <v>34</v>
      </c>
      <c r="R26" s="472" t="s">
        <v>34</v>
      </c>
      <c r="S26" s="468">
        <f t="shared" si="6"/>
        <v>3.9499999999999997</v>
      </c>
    </row>
    <row r="27" spans="1:19" ht="14.25" customHeight="1">
      <c r="A27" s="248"/>
      <c r="B27" s="821" t="s">
        <v>155</v>
      </c>
      <c r="C27" s="822"/>
      <c r="D27" s="822"/>
      <c r="E27" s="822"/>
      <c r="F27" s="822"/>
      <c r="G27" s="466">
        <f>TabelaMatriz!I247</f>
        <v>13.02</v>
      </c>
      <c r="H27" s="429" t="s">
        <v>34</v>
      </c>
      <c r="I27" s="352">
        <f>SUM(G27:H27)</f>
        <v>13.02</v>
      </c>
      <c r="J27" s="467">
        <f>TRUNC(G27*2%,2)</f>
        <v>0.26</v>
      </c>
      <c r="K27" s="467">
        <f t="shared" si="0"/>
        <v>2.6</v>
      </c>
      <c r="L27" s="467">
        <f t="shared" si="1"/>
        <v>0.65</v>
      </c>
      <c r="M27" s="467">
        <f t="shared" si="2"/>
        <v>0.65</v>
      </c>
      <c r="N27" s="467">
        <f t="shared" si="3"/>
        <v>0.52</v>
      </c>
      <c r="O27" s="203">
        <v>0.52</v>
      </c>
      <c r="P27" s="472" t="s">
        <v>34</v>
      </c>
      <c r="Q27" s="472" t="s">
        <v>34</v>
      </c>
      <c r="R27" s="472" t="s">
        <v>34</v>
      </c>
      <c r="S27" s="468">
        <f t="shared" si="6"/>
        <v>18.219999999999995</v>
      </c>
    </row>
    <row r="28" spans="1:19" ht="3.75" customHeight="1">
      <c r="A28" s="248"/>
      <c r="B28" s="334"/>
      <c r="C28" s="114"/>
      <c r="D28" s="114"/>
      <c r="E28" s="114"/>
      <c r="F28" s="114"/>
      <c r="G28" s="473"/>
      <c r="H28" s="429"/>
      <c r="I28" s="352"/>
      <c r="J28" s="467"/>
      <c r="K28" s="467"/>
      <c r="L28" s="467"/>
      <c r="M28" s="467"/>
      <c r="N28" s="467"/>
      <c r="O28" s="203"/>
      <c r="P28" s="472"/>
      <c r="Q28" s="472"/>
      <c r="R28" s="472"/>
      <c r="S28" s="468"/>
    </row>
    <row r="29" spans="1:19" ht="14.25" customHeight="1">
      <c r="A29" s="248">
        <v>6044</v>
      </c>
      <c r="B29" s="822" t="s">
        <v>156</v>
      </c>
      <c r="C29" s="822"/>
      <c r="D29" s="822"/>
      <c r="E29" s="822"/>
      <c r="F29" s="822"/>
      <c r="G29" s="466">
        <f>TabelaMatriz!I249</f>
        <v>19.54</v>
      </c>
      <c r="H29" s="429" t="s">
        <v>34</v>
      </c>
      <c r="I29" s="352">
        <f>SUM(G29:H29)</f>
        <v>19.54</v>
      </c>
      <c r="J29" s="467">
        <f>TRUNC(G29*2%,2)</f>
        <v>0.39</v>
      </c>
      <c r="K29" s="467">
        <f t="shared" si="0"/>
        <v>3.9</v>
      </c>
      <c r="L29" s="467">
        <f t="shared" si="1"/>
        <v>0.97</v>
      </c>
      <c r="M29" s="467">
        <f t="shared" si="2"/>
        <v>0.97</v>
      </c>
      <c r="N29" s="467">
        <f t="shared" si="3"/>
        <v>0.78</v>
      </c>
      <c r="O29" s="203">
        <v>0.78</v>
      </c>
      <c r="P29" s="467">
        <v>0</v>
      </c>
      <c r="Q29" s="467">
        <v>0</v>
      </c>
      <c r="R29" s="472" t="s">
        <v>34</v>
      </c>
      <c r="S29" s="468">
        <f t="shared" si="6"/>
        <v>27.33</v>
      </c>
    </row>
    <row r="30" spans="1:19" ht="67.5" customHeight="1">
      <c r="A30" s="249">
        <v>6045</v>
      </c>
      <c r="B30" s="825" t="s">
        <v>265</v>
      </c>
      <c r="C30" s="825"/>
      <c r="D30" s="825"/>
      <c r="E30" s="825"/>
      <c r="F30" s="825"/>
      <c r="G30" s="466">
        <f>TabelaMatriz!I250</f>
        <v>48.51</v>
      </c>
      <c r="H30" s="352">
        <f>+TabelaMatriz!$I$10</f>
        <v>12</v>
      </c>
      <c r="I30" s="352">
        <f>SUM(G30:H30)</f>
        <v>60.51</v>
      </c>
      <c r="J30" s="467">
        <f>TRUNC(G30*2%,2)</f>
        <v>0.97</v>
      </c>
      <c r="K30" s="467">
        <f t="shared" si="0"/>
        <v>12.1</v>
      </c>
      <c r="L30" s="467">
        <f t="shared" si="1"/>
        <v>3.02</v>
      </c>
      <c r="M30" s="467">
        <f t="shared" si="2"/>
        <v>3.02</v>
      </c>
      <c r="N30" s="467">
        <f t="shared" si="3"/>
        <v>2.42</v>
      </c>
      <c r="O30" s="203">
        <v>2.42</v>
      </c>
      <c r="P30" s="467">
        <v>0</v>
      </c>
      <c r="Q30" s="467">
        <v>0</v>
      </c>
      <c r="R30" s="467">
        <f>TabelaMatriz!$I$293</f>
        <v>26.939999999999998</v>
      </c>
      <c r="S30" s="468">
        <f t="shared" si="6"/>
        <v>111.39999999999999</v>
      </c>
    </row>
    <row r="31" spans="1:19" ht="40.5" customHeight="1">
      <c r="A31" s="249">
        <v>6046</v>
      </c>
      <c r="B31" s="825" t="s">
        <v>157</v>
      </c>
      <c r="C31" s="825"/>
      <c r="D31" s="825"/>
      <c r="E31" s="825"/>
      <c r="F31" s="825"/>
      <c r="G31" s="466">
        <f>TabelaMatriz!I251</f>
        <v>324.72000000000003</v>
      </c>
      <c r="H31" s="352">
        <f>+TabelaMatriz!$I$10</f>
        <v>12</v>
      </c>
      <c r="I31" s="352">
        <f>SUM(G31:H31)</f>
        <v>336.72</v>
      </c>
      <c r="J31" s="467">
        <f>TRUNC(G31*2%,2)</f>
        <v>6.49</v>
      </c>
      <c r="K31" s="467">
        <f t="shared" si="0"/>
        <v>67.34</v>
      </c>
      <c r="L31" s="467">
        <f t="shared" si="1"/>
        <v>16.829999999999998</v>
      </c>
      <c r="M31" s="467">
        <f t="shared" si="2"/>
        <v>16.829999999999998</v>
      </c>
      <c r="N31" s="467">
        <f t="shared" si="3"/>
        <v>13.46</v>
      </c>
      <c r="O31" s="203">
        <v>13.46</v>
      </c>
      <c r="P31" s="467">
        <v>0</v>
      </c>
      <c r="Q31" s="467">
        <v>0</v>
      </c>
      <c r="R31" s="467">
        <f>TabelaMatriz!$I$293</f>
        <v>26.939999999999998</v>
      </c>
      <c r="S31" s="468">
        <f t="shared" si="6"/>
        <v>498.07</v>
      </c>
    </row>
    <row r="32" spans="1:19" ht="30.75" customHeight="1">
      <c r="A32" s="249">
        <v>6047</v>
      </c>
      <c r="B32" s="825" t="s">
        <v>236</v>
      </c>
      <c r="C32" s="825"/>
      <c r="D32" s="825"/>
      <c r="E32" s="825"/>
      <c r="F32" s="825"/>
      <c r="G32" s="466">
        <f>TabelaMatriz!I252</f>
        <v>0.11</v>
      </c>
      <c r="H32" s="429" t="s">
        <v>34</v>
      </c>
      <c r="I32" s="352">
        <f>SUM(G32:H32)</f>
        <v>0.11</v>
      </c>
      <c r="J32" s="467">
        <v>0.01</v>
      </c>
      <c r="K32" s="467">
        <f t="shared" si="0"/>
        <v>0.02</v>
      </c>
      <c r="L32" s="467">
        <f t="shared" si="1"/>
        <v>0</v>
      </c>
      <c r="M32" s="467">
        <f t="shared" si="2"/>
        <v>0</v>
      </c>
      <c r="N32" s="467">
        <f t="shared" si="3"/>
        <v>0</v>
      </c>
      <c r="O32" s="203">
        <f>TRUNC(I32*TabelaMatriz!$I$302,2)</f>
        <v>0</v>
      </c>
      <c r="P32" s="472" t="s">
        <v>34</v>
      </c>
      <c r="Q32" s="472" t="s">
        <v>34</v>
      </c>
      <c r="R32" s="472" t="s">
        <v>34</v>
      </c>
      <c r="S32" s="468">
        <f t="shared" si="6"/>
        <v>0.13999999999999999</v>
      </c>
    </row>
    <row r="33" spans="1:19" ht="12.75" customHeight="1">
      <c r="A33" s="248"/>
      <c r="B33" s="821" t="s">
        <v>158</v>
      </c>
      <c r="C33" s="822"/>
      <c r="D33" s="822"/>
      <c r="E33" s="822"/>
      <c r="F33" s="822"/>
      <c r="G33" s="466">
        <f>TabelaMatriz!I253</f>
        <v>0.02</v>
      </c>
      <c r="H33" s="429" t="s">
        <v>34</v>
      </c>
      <c r="I33" s="352">
        <f>SUM(G33:H33)</f>
        <v>0.02</v>
      </c>
      <c r="J33" s="467">
        <v>0.01</v>
      </c>
      <c r="K33" s="467">
        <f t="shared" si="0"/>
        <v>0</v>
      </c>
      <c r="L33" s="467">
        <f t="shared" si="1"/>
        <v>0</v>
      </c>
      <c r="M33" s="467">
        <f t="shared" si="2"/>
        <v>0</v>
      </c>
      <c r="N33" s="467">
        <f t="shared" si="3"/>
        <v>0</v>
      </c>
      <c r="O33" s="203">
        <f>TRUNC(I33*TabelaMatriz!$I$302,2)</f>
        <v>0</v>
      </c>
      <c r="P33" s="472" t="s">
        <v>34</v>
      </c>
      <c r="Q33" s="472" t="s">
        <v>34</v>
      </c>
      <c r="R33" s="472" t="s">
        <v>34</v>
      </c>
      <c r="S33" s="468">
        <f t="shared" si="6"/>
        <v>0.03</v>
      </c>
    </row>
    <row r="34" spans="1:19" ht="30.75" customHeight="1">
      <c r="A34" s="249">
        <v>6048</v>
      </c>
      <c r="B34" s="825" t="s">
        <v>159</v>
      </c>
      <c r="C34" s="825"/>
      <c r="D34" s="825"/>
      <c r="E34" s="825"/>
      <c r="F34" s="825"/>
      <c r="G34" s="475"/>
      <c r="H34" s="352"/>
      <c r="I34" s="352"/>
      <c r="J34" s="467"/>
      <c r="K34" s="467"/>
      <c r="L34" s="467"/>
      <c r="M34" s="467"/>
      <c r="N34" s="467"/>
      <c r="O34" s="203"/>
      <c r="P34" s="467"/>
      <c r="Q34" s="467"/>
      <c r="R34" s="467"/>
      <c r="S34" s="468"/>
    </row>
    <row r="35" spans="1:19" ht="14.25" customHeight="1">
      <c r="A35" s="248"/>
      <c r="B35" s="821" t="s">
        <v>160</v>
      </c>
      <c r="C35" s="822"/>
      <c r="D35" s="822"/>
      <c r="E35" s="822"/>
      <c r="F35" s="822"/>
      <c r="G35" s="466">
        <f>TabelaMatriz!I255</f>
        <v>0.28000000000000003</v>
      </c>
      <c r="H35" s="429" t="s">
        <v>34</v>
      </c>
      <c r="I35" s="352">
        <f>SUM(G35:H35)</f>
        <v>0.28000000000000003</v>
      </c>
      <c r="J35" s="467">
        <v>0.01</v>
      </c>
      <c r="K35" s="467">
        <v>0.01</v>
      </c>
      <c r="L35" s="467">
        <f t="shared" si="1"/>
        <v>0.01</v>
      </c>
      <c r="M35" s="467">
        <f t="shared" si="2"/>
        <v>0.01</v>
      </c>
      <c r="N35" s="467">
        <f t="shared" si="3"/>
        <v>0.01</v>
      </c>
      <c r="O35" s="203">
        <f>TRUNC(I35*TabelaMatriz!$I$302,2)</f>
        <v>0</v>
      </c>
      <c r="P35" s="472" t="s">
        <v>34</v>
      </c>
      <c r="Q35" s="472" t="s">
        <v>34</v>
      </c>
      <c r="R35" s="472" t="s">
        <v>34</v>
      </c>
      <c r="S35" s="468">
        <f t="shared" si="6"/>
        <v>0.33000000000000007</v>
      </c>
    </row>
    <row r="36" spans="1:19" ht="14.25" customHeight="1">
      <c r="A36" s="248"/>
      <c r="B36" s="821" t="s">
        <v>154</v>
      </c>
      <c r="C36" s="822"/>
      <c r="D36" s="822"/>
      <c r="E36" s="822"/>
      <c r="F36" s="822"/>
      <c r="G36" s="466">
        <f>TabelaMatriz!I256</f>
        <v>0.04</v>
      </c>
      <c r="H36" s="429" t="s">
        <v>34</v>
      </c>
      <c r="I36" s="352">
        <f>SUM(G36:H36)</f>
        <v>0.04</v>
      </c>
      <c r="J36" s="467">
        <v>0.01</v>
      </c>
      <c r="K36" s="467">
        <f t="shared" si="0"/>
        <v>0</v>
      </c>
      <c r="L36" s="467">
        <f t="shared" si="1"/>
        <v>0</v>
      </c>
      <c r="M36" s="467">
        <f t="shared" si="2"/>
        <v>0</v>
      </c>
      <c r="N36" s="467">
        <f t="shared" si="3"/>
        <v>0</v>
      </c>
      <c r="O36" s="203">
        <f>TRUNC(I36*TabelaMatriz!$I$302,2)</f>
        <v>0</v>
      </c>
      <c r="P36" s="472" t="s">
        <v>34</v>
      </c>
      <c r="Q36" s="472" t="s">
        <v>34</v>
      </c>
      <c r="R36" s="472" t="s">
        <v>34</v>
      </c>
      <c r="S36" s="468">
        <f t="shared" si="6"/>
        <v>0.05</v>
      </c>
    </row>
    <row r="37" spans="1:19" ht="28.5" customHeight="1">
      <c r="A37" s="249">
        <v>6049</v>
      </c>
      <c r="B37" s="825" t="s">
        <v>161</v>
      </c>
      <c r="C37" s="825"/>
      <c r="D37" s="825"/>
      <c r="E37" s="825"/>
      <c r="F37" s="825"/>
      <c r="G37" s="475"/>
      <c r="H37" s="352"/>
      <c r="I37" s="352"/>
      <c r="J37" s="467"/>
      <c r="K37" s="467"/>
      <c r="L37" s="467"/>
      <c r="M37" s="467"/>
      <c r="N37" s="467"/>
      <c r="O37" s="203"/>
      <c r="P37" s="467"/>
      <c r="Q37" s="467"/>
      <c r="R37" s="467"/>
      <c r="S37" s="468"/>
    </row>
    <row r="38" spans="1:19" ht="12.75" customHeight="1">
      <c r="A38" s="248"/>
      <c r="B38" s="822" t="s">
        <v>250</v>
      </c>
      <c r="C38" s="822"/>
      <c r="D38" s="822"/>
      <c r="E38" s="822"/>
      <c r="F38" s="822"/>
      <c r="G38" s="466">
        <f>TabelaMatriz!I258</f>
        <v>324.72000000000003</v>
      </c>
      <c r="H38" s="352">
        <f>+TabelaMatriz!$I$10</f>
        <v>12</v>
      </c>
      <c r="I38" s="352">
        <f>SUM(G38:H38)</f>
        <v>336.72</v>
      </c>
      <c r="J38" s="467">
        <f>TRUNC(G38*2%,2)</f>
        <v>6.49</v>
      </c>
      <c r="K38" s="467">
        <f t="shared" si="0"/>
        <v>67.34</v>
      </c>
      <c r="L38" s="467">
        <f t="shared" si="1"/>
        <v>16.829999999999998</v>
      </c>
      <c r="M38" s="467">
        <f t="shared" si="2"/>
        <v>16.829999999999998</v>
      </c>
      <c r="N38" s="467">
        <f t="shared" si="3"/>
        <v>13.46</v>
      </c>
      <c r="O38" s="203">
        <v>13.46</v>
      </c>
      <c r="P38" s="467">
        <v>0</v>
      </c>
      <c r="Q38" s="467">
        <v>0</v>
      </c>
      <c r="R38" s="467">
        <f>TabelaMatriz!$I$293</f>
        <v>26.939999999999998</v>
      </c>
      <c r="S38" s="468">
        <f t="shared" ref="S38:S62" si="7">SUM(I38:R38)</f>
        <v>498.07</v>
      </c>
    </row>
    <row r="39" spans="1:19" ht="14.25" customHeight="1">
      <c r="A39" s="248"/>
      <c r="B39" s="822" t="s">
        <v>249</v>
      </c>
      <c r="C39" s="822"/>
      <c r="D39" s="822"/>
      <c r="E39" s="822"/>
      <c r="F39" s="822"/>
      <c r="G39" s="466">
        <f>TabelaMatriz!I259</f>
        <v>536.88</v>
      </c>
      <c r="H39" s="352">
        <f>+TabelaMatriz!$I$10</f>
        <v>12</v>
      </c>
      <c r="I39" s="352">
        <f>SUM(G39:H39)</f>
        <v>548.88</v>
      </c>
      <c r="J39" s="467">
        <f>TRUNC(G39*2%,2)</f>
        <v>10.73</v>
      </c>
      <c r="K39" s="467">
        <f t="shared" si="0"/>
        <v>109.77</v>
      </c>
      <c r="L39" s="467">
        <f t="shared" si="1"/>
        <v>27.44</v>
      </c>
      <c r="M39" s="467">
        <f t="shared" si="2"/>
        <v>27.44</v>
      </c>
      <c r="N39" s="467">
        <f t="shared" si="3"/>
        <v>21.95</v>
      </c>
      <c r="O39" s="203">
        <v>21.95</v>
      </c>
      <c r="P39" s="467">
        <v>0</v>
      </c>
      <c r="Q39" s="467">
        <v>0</v>
      </c>
      <c r="R39" s="467">
        <f>TabelaMatriz!$I$293</f>
        <v>26.939999999999998</v>
      </c>
      <c r="S39" s="468">
        <f t="shared" si="7"/>
        <v>795.10000000000014</v>
      </c>
    </row>
    <row r="40" spans="1:19" ht="14.25" customHeight="1">
      <c r="A40" s="248"/>
      <c r="B40" s="822" t="s">
        <v>162</v>
      </c>
      <c r="C40" s="822"/>
      <c r="D40" s="822"/>
      <c r="E40" s="822"/>
      <c r="F40" s="822"/>
      <c r="G40" s="466">
        <f>TabelaMatriz!I260</f>
        <v>1044.44</v>
      </c>
      <c r="H40" s="352">
        <f>+TabelaMatriz!$I$10</f>
        <v>12</v>
      </c>
      <c r="I40" s="352">
        <f>SUM(G40:H40)</f>
        <v>1056.44</v>
      </c>
      <c r="J40" s="467">
        <f>TRUNC(G40*2%,2)</f>
        <v>20.88</v>
      </c>
      <c r="K40" s="467">
        <f t="shared" si="0"/>
        <v>211.28</v>
      </c>
      <c r="L40" s="467">
        <f t="shared" si="1"/>
        <v>52.82</v>
      </c>
      <c r="M40" s="467">
        <f t="shared" si="2"/>
        <v>52.82</v>
      </c>
      <c r="N40" s="467">
        <f t="shared" si="3"/>
        <v>42.25</v>
      </c>
      <c r="O40" s="203">
        <v>42.25</v>
      </c>
      <c r="P40" s="467">
        <v>0</v>
      </c>
      <c r="Q40" s="467">
        <v>0</v>
      </c>
      <c r="R40" s="467">
        <f>TabelaMatriz!$I$293</f>
        <v>26.939999999999998</v>
      </c>
      <c r="S40" s="468">
        <f t="shared" si="7"/>
        <v>1505.68</v>
      </c>
    </row>
    <row r="41" spans="1:19" ht="14.25" customHeight="1">
      <c r="A41" s="248"/>
      <c r="B41" s="821" t="s">
        <v>266</v>
      </c>
      <c r="C41" s="822"/>
      <c r="D41" s="822"/>
      <c r="E41" s="822"/>
      <c r="F41" s="822"/>
      <c r="G41" s="466">
        <f>TabelaMatriz!I261</f>
        <v>0.28000000000000003</v>
      </c>
      <c r="H41" s="429" t="s">
        <v>34</v>
      </c>
      <c r="I41" s="352">
        <f>SUM(G41:H41)</f>
        <v>0.28000000000000003</v>
      </c>
      <c r="J41" s="467">
        <v>0.01</v>
      </c>
      <c r="K41" s="467">
        <f t="shared" si="0"/>
        <v>0.05</v>
      </c>
      <c r="L41" s="467">
        <f t="shared" si="1"/>
        <v>0.01</v>
      </c>
      <c r="M41" s="467">
        <f t="shared" si="2"/>
        <v>0.01</v>
      </c>
      <c r="N41" s="467">
        <f t="shared" si="3"/>
        <v>0.01</v>
      </c>
      <c r="O41" s="203">
        <f>TRUNC(I41*TabelaMatriz!$I$302,2)</f>
        <v>0</v>
      </c>
      <c r="P41" s="472" t="s">
        <v>34</v>
      </c>
      <c r="Q41" s="472">
        <v>0</v>
      </c>
      <c r="R41" s="472" t="s">
        <v>34</v>
      </c>
      <c r="S41" s="468">
        <f t="shared" si="7"/>
        <v>0.37000000000000005</v>
      </c>
    </row>
    <row r="42" spans="1:19" ht="14.25" customHeight="1">
      <c r="A42" s="248"/>
      <c r="B42" s="823" t="s">
        <v>163</v>
      </c>
      <c r="C42" s="823"/>
      <c r="D42" s="823"/>
      <c r="E42" s="823"/>
      <c r="F42" s="823"/>
      <c r="G42" s="473"/>
      <c r="H42" s="352"/>
      <c r="I42" s="352"/>
      <c r="J42" s="467"/>
      <c r="K42" s="467"/>
      <c r="L42" s="467"/>
      <c r="M42" s="467"/>
      <c r="N42" s="467"/>
      <c r="O42" s="203"/>
      <c r="P42" s="467"/>
      <c r="Q42" s="467"/>
      <c r="R42" s="467"/>
      <c r="S42" s="468"/>
    </row>
    <row r="43" spans="1:19" ht="40.5" customHeight="1">
      <c r="A43" s="249">
        <v>6050</v>
      </c>
      <c r="B43" s="825" t="s">
        <v>403</v>
      </c>
      <c r="C43" s="825"/>
      <c r="D43" s="825"/>
      <c r="E43" s="825"/>
      <c r="F43" s="825"/>
      <c r="G43" s="466">
        <f>TabelaMatriz!I263</f>
        <v>148.47999999999999</v>
      </c>
      <c r="H43" s="352">
        <f>+TabelaMatriz!$I$10</f>
        <v>12</v>
      </c>
      <c r="I43" s="352">
        <f t="shared" ref="I43:I59" si="8">SUM(G43:H43)</f>
        <v>160.47999999999999</v>
      </c>
      <c r="J43" s="467">
        <f t="shared" ref="J43:J59" si="9">TRUNC(G43*2%,2)</f>
        <v>2.96</v>
      </c>
      <c r="K43" s="467">
        <f t="shared" si="0"/>
        <v>32.090000000000003</v>
      </c>
      <c r="L43" s="467">
        <f t="shared" si="1"/>
        <v>8.02</v>
      </c>
      <c r="M43" s="467">
        <f t="shared" si="2"/>
        <v>8.02</v>
      </c>
      <c r="N43" s="467">
        <f t="shared" si="3"/>
        <v>6.41</v>
      </c>
      <c r="O43" s="203">
        <v>6.41</v>
      </c>
      <c r="P43" s="467">
        <v>0</v>
      </c>
      <c r="Q43" s="467">
        <v>0</v>
      </c>
      <c r="R43" s="467">
        <f>TabelaMatriz!$I$294</f>
        <v>6.5600000000000005</v>
      </c>
      <c r="S43" s="468">
        <f t="shared" si="7"/>
        <v>230.95000000000002</v>
      </c>
    </row>
    <row r="44" spans="1:19" ht="14.25" customHeight="1">
      <c r="A44" s="248"/>
      <c r="B44" s="825" t="s">
        <v>165</v>
      </c>
      <c r="C44" s="825"/>
      <c r="D44" s="825"/>
      <c r="E44" s="825"/>
      <c r="F44" s="825"/>
      <c r="G44" s="466">
        <f>TabelaMatriz!I264</f>
        <v>2.84</v>
      </c>
      <c r="H44" s="429" t="s">
        <v>34</v>
      </c>
      <c r="I44" s="352">
        <f t="shared" si="8"/>
        <v>2.84</v>
      </c>
      <c r="J44" s="467">
        <f t="shared" si="9"/>
        <v>0.05</v>
      </c>
      <c r="K44" s="467">
        <f t="shared" si="0"/>
        <v>0.56000000000000005</v>
      </c>
      <c r="L44" s="467">
        <f t="shared" si="1"/>
        <v>0.14000000000000001</v>
      </c>
      <c r="M44" s="467">
        <f t="shared" si="2"/>
        <v>0.14000000000000001</v>
      </c>
      <c r="N44" s="467">
        <f t="shared" si="3"/>
        <v>0.11</v>
      </c>
      <c r="O44" s="203">
        <v>0.11</v>
      </c>
      <c r="P44" s="472">
        <v>0</v>
      </c>
      <c r="Q44" s="472" t="s">
        <v>34</v>
      </c>
      <c r="R44" s="472" t="s">
        <v>34</v>
      </c>
      <c r="S44" s="468">
        <f t="shared" si="7"/>
        <v>3.9499999999999997</v>
      </c>
    </row>
    <row r="45" spans="1:19" ht="31.5" customHeight="1">
      <c r="A45" s="248"/>
      <c r="B45" s="825" t="s">
        <v>313</v>
      </c>
      <c r="C45" s="825"/>
      <c r="D45" s="825"/>
      <c r="E45" s="825"/>
      <c r="F45" s="825"/>
      <c r="G45" s="466">
        <f>TabelaMatriz!I265</f>
        <v>19.54</v>
      </c>
      <c r="H45" s="429" t="s">
        <v>34</v>
      </c>
      <c r="I45" s="352">
        <f t="shared" si="8"/>
        <v>19.54</v>
      </c>
      <c r="J45" s="467">
        <f t="shared" si="9"/>
        <v>0.39</v>
      </c>
      <c r="K45" s="467">
        <f t="shared" si="0"/>
        <v>3.9</v>
      </c>
      <c r="L45" s="467">
        <f t="shared" si="1"/>
        <v>0.97</v>
      </c>
      <c r="M45" s="467">
        <f t="shared" si="2"/>
        <v>0.97</v>
      </c>
      <c r="N45" s="467">
        <f t="shared" si="3"/>
        <v>0.78</v>
      </c>
      <c r="O45" s="203">
        <v>0.78</v>
      </c>
      <c r="P45" s="472" t="s">
        <v>34</v>
      </c>
      <c r="Q45" s="472" t="s">
        <v>34</v>
      </c>
      <c r="R45" s="472" t="s">
        <v>34</v>
      </c>
      <c r="S45" s="468">
        <f t="shared" si="7"/>
        <v>27.33</v>
      </c>
    </row>
    <row r="46" spans="1:19" ht="57.75" customHeight="1">
      <c r="A46" s="249">
        <v>6051</v>
      </c>
      <c r="B46" s="825" t="s">
        <v>404</v>
      </c>
      <c r="C46" s="825"/>
      <c r="D46" s="825"/>
      <c r="E46" s="825"/>
      <c r="F46" s="825"/>
      <c r="G46" s="466">
        <f>TabelaMatriz!I266</f>
        <v>21.17</v>
      </c>
      <c r="H46" s="352">
        <f>+TabelaMatriz!$I$10</f>
        <v>12</v>
      </c>
      <c r="I46" s="352">
        <f t="shared" si="8"/>
        <v>33.17</v>
      </c>
      <c r="J46" s="467">
        <f t="shared" si="9"/>
        <v>0.42</v>
      </c>
      <c r="K46" s="467">
        <f t="shared" si="0"/>
        <v>6.63</v>
      </c>
      <c r="L46" s="467">
        <f t="shared" si="1"/>
        <v>1.65</v>
      </c>
      <c r="M46" s="467">
        <f t="shared" si="2"/>
        <v>1.65</v>
      </c>
      <c r="N46" s="467">
        <f t="shared" si="3"/>
        <v>1.32</v>
      </c>
      <c r="O46" s="203">
        <v>1.32</v>
      </c>
      <c r="P46" s="467">
        <v>0</v>
      </c>
      <c r="Q46" s="467">
        <v>0</v>
      </c>
      <c r="R46" s="467">
        <f>TabelaMatriz!$I$294</f>
        <v>6.5600000000000005</v>
      </c>
      <c r="S46" s="468">
        <f t="shared" si="7"/>
        <v>52.720000000000006</v>
      </c>
    </row>
    <row r="47" spans="1:19" ht="14.25" customHeight="1">
      <c r="A47" s="248"/>
      <c r="B47" s="822" t="s">
        <v>166</v>
      </c>
      <c r="C47" s="822"/>
      <c r="D47" s="822"/>
      <c r="E47" s="822"/>
      <c r="F47" s="822"/>
      <c r="G47" s="466">
        <f>TabelaMatriz!I267</f>
        <v>2.64</v>
      </c>
      <c r="H47" s="429" t="s">
        <v>34</v>
      </c>
      <c r="I47" s="352">
        <f t="shared" si="8"/>
        <v>2.64</v>
      </c>
      <c r="J47" s="467">
        <f t="shared" si="9"/>
        <v>0.05</v>
      </c>
      <c r="K47" s="467">
        <f t="shared" si="0"/>
        <v>0.52</v>
      </c>
      <c r="L47" s="467">
        <f t="shared" si="1"/>
        <v>0.13</v>
      </c>
      <c r="M47" s="467">
        <f t="shared" si="2"/>
        <v>0.13</v>
      </c>
      <c r="N47" s="467">
        <f t="shared" si="3"/>
        <v>0.1</v>
      </c>
      <c r="O47" s="203">
        <v>0.1</v>
      </c>
      <c r="P47" s="472" t="s">
        <v>34</v>
      </c>
      <c r="Q47" s="472" t="s">
        <v>34</v>
      </c>
      <c r="R47" s="472" t="s">
        <v>34</v>
      </c>
      <c r="S47" s="468">
        <f t="shared" si="7"/>
        <v>3.67</v>
      </c>
    </row>
    <row r="48" spans="1:19" ht="26.25" customHeight="1">
      <c r="A48" s="248"/>
      <c r="B48" s="825" t="s">
        <v>167</v>
      </c>
      <c r="C48" s="825"/>
      <c r="D48" s="825"/>
      <c r="E48" s="825"/>
      <c r="F48" s="825"/>
      <c r="G48" s="466">
        <f>TabelaMatriz!I268</f>
        <v>19.54</v>
      </c>
      <c r="H48" s="429" t="s">
        <v>34</v>
      </c>
      <c r="I48" s="352">
        <f t="shared" si="8"/>
        <v>19.54</v>
      </c>
      <c r="J48" s="467">
        <f t="shared" si="9"/>
        <v>0.39</v>
      </c>
      <c r="K48" s="467">
        <f t="shared" si="0"/>
        <v>3.9</v>
      </c>
      <c r="L48" s="467">
        <f t="shared" si="1"/>
        <v>0.97</v>
      </c>
      <c r="M48" s="467">
        <f t="shared" si="2"/>
        <v>0.97</v>
      </c>
      <c r="N48" s="467">
        <f t="shared" si="3"/>
        <v>0.78</v>
      </c>
      <c r="O48" s="203">
        <v>0.78</v>
      </c>
      <c r="P48" s="472" t="s">
        <v>34</v>
      </c>
      <c r="Q48" s="472" t="s">
        <v>34</v>
      </c>
      <c r="R48" s="472" t="s">
        <v>34</v>
      </c>
      <c r="S48" s="468">
        <f t="shared" si="7"/>
        <v>27.33</v>
      </c>
    </row>
    <row r="49" spans="1:19" ht="33" customHeight="1">
      <c r="A49" s="249">
        <v>6052</v>
      </c>
      <c r="B49" s="825" t="s">
        <v>268</v>
      </c>
      <c r="C49" s="825"/>
      <c r="D49" s="825"/>
      <c r="E49" s="825"/>
      <c r="F49" s="825"/>
      <c r="G49" s="466">
        <f>TabelaMatriz!I269</f>
        <v>17.079999999999998</v>
      </c>
      <c r="H49" s="429" t="s">
        <v>34</v>
      </c>
      <c r="I49" s="352">
        <f t="shared" si="8"/>
        <v>17.079999999999998</v>
      </c>
      <c r="J49" s="467">
        <f t="shared" si="9"/>
        <v>0.34</v>
      </c>
      <c r="K49" s="467">
        <f t="shared" si="0"/>
        <v>3.41</v>
      </c>
      <c r="L49" s="467">
        <f t="shared" si="1"/>
        <v>0.85</v>
      </c>
      <c r="M49" s="467">
        <f t="shared" si="2"/>
        <v>0.85</v>
      </c>
      <c r="N49" s="467">
        <f t="shared" si="3"/>
        <v>0.68</v>
      </c>
      <c r="O49" s="203">
        <v>0.68</v>
      </c>
      <c r="P49" s="472" t="s">
        <v>34</v>
      </c>
      <c r="Q49" s="472" t="s">
        <v>34</v>
      </c>
      <c r="R49" s="472" t="s">
        <v>34</v>
      </c>
      <c r="S49" s="468">
        <f t="shared" si="7"/>
        <v>23.89</v>
      </c>
    </row>
    <row r="50" spans="1:19" ht="14.25" customHeight="1">
      <c r="A50" s="248">
        <v>6053</v>
      </c>
      <c r="B50" s="822" t="s">
        <v>168</v>
      </c>
      <c r="C50" s="822"/>
      <c r="D50" s="822"/>
      <c r="E50" s="822"/>
      <c r="F50" s="822"/>
      <c r="G50" s="466">
        <f>TabelaMatriz!I270</f>
        <v>8.1</v>
      </c>
      <c r="H50" s="429" t="s">
        <v>34</v>
      </c>
      <c r="I50" s="352">
        <f t="shared" si="8"/>
        <v>8.1</v>
      </c>
      <c r="J50" s="467">
        <f t="shared" si="9"/>
        <v>0.16</v>
      </c>
      <c r="K50" s="467">
        <f t="shared" si="0"/>
        <v>1.62</v>
      </c>
      <c r="L50" s="467">
        <f t="shared" si="1"/>
        <v>0.4</v>
      </c>
      <c r="M50" s="467">
        <f t="shared" si="2"/>
        <v>0.4</v>
      </c>
      <c r="N50" s="467">
        <f t="shared" si="3"/>
        <v>0.32</v>
      </c>
      <c r="O50" s="203">
        <v>0.32</v>
      </c>
      <c r="P50" s="472" t="s">
        <v>34</v>
      </c>
      <c r="Q50" s="472" t="s">
        <v>34</v>
      </c>
      <c r="R50" s="472" t="s">
        <v>34</v>
      </c>
      <c r="S50" s="468">
        <f t="shared" si="7"/>
        <v>11.32</v>
      </c>
    </row>
    <row r="51" spans="1:19" ht="14.25" customHeight="1">
      <c r="A51" s="248"/>
      <c r="B51" s="822" t="s">
        <v>169</v>
      </c>
      <c r="C51" s="822"/>
      <c r="D51" s="822"/>
      <c r="E51" s="822"/>
      <c r="F51" s="822"/>
      <c r="G51" s="466">
        <f>TabelaMatriz!I271</f>
        <v>0.11</v>
      </c>
      <c r="H51" s="429" t="s">
        <v>34</v>
      </c>
      <c r="I51" s="352">
        <f t="shared" si="8"/>
        <v>0.11</v>
      </c>
      <c r="J51" s="467">
        <f t="shared" si="9"/>
        <v>0</v>
      </c>
      <c r="K51" s="467">
        <f t="shared" si="0"/>
        <v>0.02</v>
      </c>
      <c r="L51" s="467">
        <f t="shared" si="1"/>
        <v>0</v>
      </c>
      <c r="M51" s="467">
        <f t="shared" si="2"/>
        <v>0</v>
      </c>
      <c r="N51" s="467">
        <f t="shared" si="3"/>
        <v>0</v>
      </c>
      <c r="O51" s="203">
        <f>TRUNC(I51*TabelaMatriz!$I$302,2)</f>
        <v>0</v>
      </c>
      <c r="P51" s="472" t="s">
        <v>34</v>
      </c>
      <c r="Q51" s="472" t="s">
        <v>34</v>
      </c>
      <c r="R51" s="472" t="s">
        <v>34</v>
      </c>
      <c r="S51" s="468">
        <f t="shared" si="7"/>
        <v>0.13</v>
      </c>
    </row>
    <row r="52" spans="1:19" ht="44.25" customHeight="1">
      <c r="A52" s="249">
        <v>6054</v>
      </c>
      <c r="B52" s="825" t="s">
        <v>170</v>
      </c>
      <c r="C52" s="825"/>
      <c r="D52" s="825"/>
      <c r="E52" s="825"/>
      <c r="F52" s="825"/>
      <c r="G52" s="466">
        <f>TabelaMatriz!I272</f>
        <v>18.34</v>
      </c>
      <c r="H52" s="429" t="s">
        <v>34</v>
      </c>
      <c r="I52" s="352">
        <f t="shared" si="8"/>
        <v>18.34</v>
      </c>
      <c r="J52" s="467">
        <f t="shared" si="9"/>
        <v>0.36</v>
      </c>
      <c r="K52" s="467">
        <f t="shared" si="0"/>
        <v>3.66</v>
      </c>
      <c r="L52" s="467">
        <f t="shared" si="1"/>
        <v>0.91</v>
      </c>
      <c r="M52" s="467">
        <f t="shared" si="2"/>
        <v>0.91</v>
      </c>
      <c r="N52" s="467">
        <f t="shared" si="3"/>
        <v>0.73</v>
      </c>
      <c r="O52" s="203">
        <v>0.73</v>
      </c>
      <c r="P52" s="472" t="s">
        <v>34</v>
      </c>
      <c r="Q52" s="472" t="s">
        <v>34</v>
      </c>
      <c r="R52" s="472" t="s">
        <v>34</v>
      </c>
      <c r="S52" s="468">
        <f t="shared" si="7"/>
        <v>25.64</v>
      </c>
    </row>
    <row r="53" spans="1:19" ht="26.25" customHeight="1">
      <c r="A53" s="248"/>
      <c r="B53" s="825" t="s">
        <v>269</v>
      </c>
      <c r="C53" s="825"/>
      <c r="D53" s="825"/>
      <c r="E53" s="825"/>
      <c r="F53" s="825"/>
      <c r="G53" s="466">
        <f>TabelaMatriz!I273</f>
        <v>11.37</v>
      </c>
      <c r="H53" s="429" t="s">
        <v>34</v>
      </c>
      <c r="I53" s="352">
        <f t="shared" si="8"/>
        <v>11.37</v>
      </c>
      <c r="J53" s="467">
        <f t="shared" si="9"/>
        <v>0.22</v>
      </c>
      <c r="K53" s="467">
        <f t="shared" si="0"/>
        <v>2.27</v>
      </c>
      <c r="L53" s="467">
        <f t="shared" si="1"/>
        <v>0.56000000000000005</v>
      </c>
      <c r="M53" s="467">
        <f t="shared" si="2"/>
        <v>0.56000000000000005</v>
      </c>
      <c r="N53" s="467">
        <f t="shared" si="3"/>
        <v>0.45</v>
      </c>
      <c r="O53" s="203">
        <v>0.45</v>
      </c>
      <c r="P53" s="472" t="s">
        <v>34</v>
      </c>
      <c r="Q53" s="472" t="s">
        <v>34</v>
      </c>
      <c r="R53" s="472" t="s">
        <v>34</v>
      </c>
      <c r="S53" s="468">
        <f t="shared" si="7"/>
        <v>15.879999999999999</v>
      </c>
    </row>
    <row r="54" spans="1:19" ht="14.25" customHeight="1">
      <c r="A54" s="248"/>
      <c r="B54" s="822" t="s">
        <v>171</v>
      </c>
      <c r="C54" s="822"/>
      <c r="D54" s="822"/>
      <c r="E54" s="822"/>
      <c r="F54" s="822"/>
      <c r="G54" s="466">
        <f>TabelaMatriz!I274</f>
        <v>1.56</v>
      </c>
      <c r="H54" s="429" t="s">
        <v>34</v>
      </c>
      <c r="I54" s="352">
        <f t="shared" si="8"/>
        <v>1.56</v>
      </c>
      <c r="J54" s="467">
        <f t="shared" si="9"/>
        <v>0.03</v>
      </c>
      <c r="K54" s="467">
        <f t="shared" si="0"/>
        <v>0.31</v>
      </c>
      <c r="L54" s="467">
        <f t="shared" si="1"/>
        <v>7.0000000000000007E-2</v>
      </c>
      <c r="M54" s="467">
        <f t="shared" si="2"/>
        <v>7.0000000000000007E-2</v>
      </c>
      <c r="N54" s="467">
        <f t="shared" si="3"/>
        <v>0.06</v>
      </c>
      <c r="O54" s="203">
        <v>0.06</v>
      </c>
      <c r="P54" s="472" t="s">
        <v>34</v>
      </c>
      <c r="Q54" s="472" t="s">
        <v>34</v>
      </c>
      <c r="R54" s="472" t="s">
        <v>34</v>
      </c>
      <c r="S54" s="468">
        <f t="shared" si="7"/>
        <v>2.16</v>
      </c>
    </row>
    <row r="55" spans="1:19" ht="14.25" customHeight="1">
      <c r="A55" s="248">
        <v>6055</v>
      </c>
      <c r="B55" s="822" t="s">
        <v>172</v>
      </c>
      <c r="C55" s="822"/>
      <c r="D55" s="822"/>
      <c r="E55" s="822"/>
      <c r="F55" s="822"/>
      <c r="G55" s="466">
        <f>TabelaMatriz!I275</f>
        <v>32.590000000000003</v>
      </c>
      <c r="H55" s="429" t="s">
        <v>34</v>
      </c>
      <c r="I55" s="352">
        <f t="shared" si="8"/>
        <v>32.590000000000003</v>
      </c>
      <c r="J55" s="467">
        <f t="shared" si="9"/>
        <v>0.65</v>
      </c>
      <c r="K55" s="467">
        <f t="shared" si="0"/>
        <v>6.51</v>
      </c>
      <c r="L55" s="467">
        <f t="shared" si="1"/>
        <v>1.62</v>
      </c>
      <c r="M55" s="467">
        <f t="shared" si="2"/>
        <v>1.62</v>
      </c>
      <c r="N55" s="467">
        <f t="shared" si="3"/>
        <v>1.3</v>
      </c>
      <c r="O55" s="203">
        <v>1.3</v>
      </c>
      <c r="P55" s="472" t="s">
        <v>34</v>
      </c>
      <c r="Q55" s="472" t="s">
        <v>34</v>
      </c>
      <c r="R55" s="472" t="s">
        <v>34</v>
      </c>
      <c r="S55" s="468">
        <f t="shared" si="7"/>
        <v>45.589999999999989</v>
      </c>
    </row>
    <row r="56" spans="1:19" ht="14.25" customHeight="1">
      <c r="A56" s="248"/>
      <c r="B56" s="822" t="s">
        <v>173</v>
      </c>
      <c r="C56" s="822"/>
      <c r="D56" s="822"/>
      <c r="E56" s="822"/>
      <c r="F56" s="822"/>
      <c r="G56" s="466">
        <f>TabelaMatriz!I276</f>
        <v>11.37</v>
      </c>
      <c r="H56" s="429" t="s">
        <v>34</v>
      </c>
      <c r="I56" s="352">
        <f t="shared" si="8"/>
        <v>11.37</v>
      </c>
      <c r="J56" s="467">
        <f t="shared" si="9"/>
        <v>0.22</v>
      </c>
      <c r="K56" s="467">
        <f t="shared" si="0"/>
        <v>2.27</v>
      </c>
      <c r="L56" s="467">
        <f t="shared" si="1"/>
        <v>0.56000000000000005</v>
      </c>
      <c r="M56" s="467">
        <f t="shared" si="2"/>
        <v>0.56000000000000005</v>
      </c>
      <c r="N56" s="467">
        <f t="shared" si="3"/>
        <v>0.45</v>
      </c>
      <c r="O56" s="203">
        <v>0.45</v>
      </c>
      <c r="P56" s="472" t="s">
        <v>34</v>
      </c>
      <c r="Q56" s="472" t="s">
        <v>34</v>
      </c>
      <c r="R56" s="472" t="s">
        <v>34</v>
      </c>
      <c r="S56" s="468">
        <f t="shared" si="7"/>
        <v>15.879999999999999</v>
      </c>
    </row>
    <row r="57" spans="1:19" ht="14.25" customHeight="1">
      <c r="A57" s="248"/>
      <c r="B57" s="822" t="s">
        <v>174</v>
      </c>
      <c r="C57" s="822"/>
      <c r="D57" s="822"/>
      <c r="E57" s="822"/>
      <c r="F57" s="822"/>
      <c r="G57" s="466">
        <f>TabelaMatriz!I277</f>
        <v>1.56</v>
      </c>
      <c r="H57" s="429" t="s">
        <v>34</v>
      </c>
      <c r="I57" s="352">
        <f t="shared" si="8"/>
        <v>1.56</v>
      </c>
      <c r="J57" s="467">
        <f t="shared" si="9"/>
        <v>0.03</v>
      </c>
      <c r="K57" s="467">
        <f t="shared" si="0"/>
        <v>0.31</v>
      </c>
      <c r="L57" s="467">
        <f t="shared" si="1"/>
        <v>7.0000000000000007E-2</v>
      </c>
      <c r="M57" s="467">
        <f t="shared" si="2"/>
        <v>7.0000000000000007E-2</v>
      </c>
      <c r="N57" s="467">
        <f t="shared" si="3"/>
        <v>0.06</v>
      </c>
      <c r="O57" s="203">
        <v>0.06</v>
      </c>
      <c r="P57" s="472" t="s">
        <v>34</v>
      </c>
      <c r="Q57" s="472" t="s">
        <v>34</v>
      </c>
      <c r="R57" s="472" t="s">
        <v>34</v>
      </c>
      <c r="S57" s="468">
        <f t="shared" si="7"/>
        <v>2.16</v>
      </c>
    </row>
    <row r="58" spans="1:19" ht="14.25" customHeight="1">
      <c r="A58" s="248"/>
      <c r="B58" s="822" t="s">
        <v>175</v>
      </c>
      <c r="C58" s="822"/>
      <c r="D58" s="822"/>
      <c r="E58" s="822"/>
      <c r="F58" s="822"/>
      <c r="G58" s="466">
        <f>TabelaMatriz!I278</f>
        <v>3.21</v>
      </c>
      <c r="H58" s="429" t="s">
        <v>34</v>
      </c>
      <c r="I58" s="352">
        <f t="shared" si="8"/>
        <v>3.21</v>
      </c>
      <c r="J58" s="467">
        <f t="shared" si="9"/>
        <v>0.06</v>
      </c>
      <c r="K58" s="467">
        <f t="shared" si="0"/>
        <v>0.64</v>
      </c>
      <c r="L58" s="467">
        <f t="shared" si="1"/>
        <v>0.16</v>
      </c>
      <c r="M58" s="467">
        <f t="shared" si="2"/>
        <v>0.16</v>
      </c>
      <c r="N58" s="467">
        <f t="shared" si="3"/>
        <v>0.12</v>
      </c>
      <c r="O58" s="203">
        <v>0.12</v>
      </c>
      <c r="P58" s="472" t="s">
        <v>34</v>
      </c>
      <c r="Q58" s="472" t="s">
        <v>34</v>
      </c>
      <c r="R58" s="472" t="s">
        <v>34</v>
      </c>
      <c r="S58" s="468">
        <f t="shared" si="7"/>
        <v>4.4700000000000006</v>
      </c>
    </row>
    <row r="59" spans="1:19" ht="14.25" customHeight="1">
      <c r="A59" s="248"/>
      <c r="B59" s="822" t="s">
        <v>270</v>
      </c>
      <c r="C59" s="822"/>
      <c r="D59" s="822"/>
      <c r="E59" s="822"/>
      <c r="F59" s="822"/>
      <c r="G59" s="466">
        <f>TabelaMatriz!I279</f>
        <v>1.56</v>
      </c>
      <c r="H59" s="429" t="s">
        <v>34</v>
      </c>
      <c r="I59" s="352">
        <f t="shared" si="8"/>
        <v>1.56</v>
      </c>
      <c r="J59" s="467">
        <f t="shared" si="9"/>
        <v>0.03</v>
      </c>
      <c r="K59" s="467">
        <f t="shared" si="0"/>
        <v>0.31</v>
      </c>
      <c r="L59" s="467">
        <f t="shared" si="1"/>
        <v>7.0000000000000007E-2</v>
      </c>
      <c r="M59" s="467">
        <f t="shared" si="2"/>
        <v>7.0000000000000007E-2</v>
      </c>
      <c r="N59" s="467">
        <f t="shared" si="3"/>
        <v>0.06</v>
      </c>
      <c r="O59" s="203">
        <v>0.06</v>
      </c>
      <c r="P59" s="472" t="s">
        <v>34</v>
      </c>
      <c r="Q59" s="472" t="s">
        <v>34</v>
      </c>
      <c r="R59" s="472" t="s">
        <v>34</v>
      </c>
      <c r="S59" s="468">
        <f t="shared" si="7"/>
        <v>2.16</v>
      </c>
    </row>
    <row r="60" spans="1:19" ht="14.25" customHeight="1">
      <c r="A60" s="248">
        <v>6056</v>
      </c>
      <c r="B60" s="822" t="s">
        <v>308</v>
      </c>
      <c r="C60" s="822"/>
      <c r="D60" s="822"/>
      <c r="E60" s="822"/>
      <c r="F60" s="822"/>
      <c r="G60" s="473"/>
      <c r="H60" s="352"/>
      <c r="I60" s="352"/>
      <c r="J60" s="467"/>
      <c r="K60" s="467"/>
      <c r="L60" s="467"/>
      <c r="M60" s="467"/>
      <c r="N60" s="467"/>
      <c r="O60" s="203">
        <f>TRUNC(I60*TabelaMatriz!$I$302,2)</f>
        <v>0</v>
      </c>
      <c r="P60" s="467"/>
      <c r="Q60" s="467"/>
      <c r="R60" s="467"/>
      <c r="S60" s="468"/>
    </row>
    <row r="61" spans="1:19" ht="14.25" customHeight="1">
      <c r="A61" s="248"/>
      <c r="B61" s="822" t="s">
        <v>338</v>
      </c>
      <c r="C61" s="822"/>
      <c r="D61" s="822"/>
      <c r="E61" s="822"/>
      <c r="F61" s="822"/>
      <c r="G61" s="466">
        <f>TabelaMatriz!I281</f>
        <v>16.27</v>
      </c>
      <c r="H61" s="476">
        <f>TabelaMatriz!I6*10</f>
        <v>8.6</v>
      </c>
      <c r="I61" s="352">
        <f>SUM(G61:H61)</f>
        <v>24.869999999999997</v>
      </c>
      <c r="J61" s="467">
        <f>TRUNC(G61*2%,2)</f>
        <v>0.32</v>
      </c>
      <c r="K61" s="467">
        <f t="shared" si="0"/>
        <v>4.97</v>
      </c>
      <c r="L61" s="467">
        <f t="shared" si="1"/>
        <v>1.24</v>
      </c>
      <c r="M61" s="467">
        <f t="shared" si="2"/>
        <v>1.24</v>
      </c>
      <c r="N61" s="467">
        <f t="shared" si="3"/>
        <v>0.99</v>
      </c>
      <c r="O61" s="203">
        <v>0.99</v>
      </c>
      <c r="P61" s="472" t="s">
        <v>34</v>
      </c>
      <c r="Q61" s="472" t="s">
        <v>34</v>
      </c>
      <c r="R61" s="472" t="s">
        <v>34</v>
      </c>
      <c r="S61" s="468">
        <f t="shared" si="7"/>
        <v>34.619999999999997</v>
      </c>
    </row>
    <row r="62" spans="1:19" ht="14.25" customHeight="1">
      <c r="A62" s="248"/>
      <c r="B62" s="822" t="s">
        <v>171</v>
      </c>
      <c r="C62" s="822"/>
      <c r="D62" s="822"/>
      <c r="E62" s="822"/>
      <c r="F62" s="822"/>
      <c r="G62" s="466">
        <f>TabelaMatriz!I282</f>
        <v>4.04</v>
      </c>
      <c r="H62" s="429" t="s">
        <v>34</v>
      </c>
      <c r="I62" s="352">
        <f>SUM(G62:H62)</f>
        <v>4.04</v>
      </c>
      <c r="J62" s="467">
        <f>TRUNC(G62*2%,2)</f>
        <v>0.08</v>
      </c>
      <c r="K62" s="467">
        <f t="shared" si="0"/>
        <v>0.8</v>
      </c>
      <c r="L62" s="467">
        <f t="shared" si="1"/>
        <v>0.2</v>
      </c>
      <c r="M62" s="467">
        <f t="shared" si="2"/>
        <v>0.2</v>
      </c>
      <c r="N62" s="467">
        <f t="shared" si="3"/>
        <v>0.16</v>
      </c>
      <c r="O62" s="203">
        <v>0.16</v>
      </c>
      <c r="P62" s="472" t="s">
        <v>34</v>
      </c>
      <c r="Q62" s="472" t="s">
        <v>34</v>
      </c>
      <c r="R62" s="472" t="s">
        <v>34</v>
      </c>
      <c r="S62" s="468">
        <f t="shared" si="7"/>
        <v>5.6400000000000006</v>
      </c>
    </row>
    <row r="63" spans="1:19" ht="10.5" customHeight="1">
      <c r="A63" s="338"/>
      <c r="B63" s="337"/>
      <c r="C63" s="337"/>
      <c r="D63" s="337"/>
      <c r="E63" s="337"/>
      <c r="F63" s="337"/>
      <c r="G63" s="336"/>
      <c r="H63" s="346"/>
      <c r="I63" s="346"/>
      <c r="J63" s="347"/>
      <c r="K63" s="348"/>
      <c r="L63" s="348"/>
      <c r="M63" s="348"/>
      <c r="N63" s="348"/>
      <c r="O63" s="348"/>
      <c r="P63" s="348"/>
      <c r="Q63" s="348"/>
      <c r="R63" s="348"/>
      <c r="S63" s="349"/>
    </row>
    <row r="64" spans="1:19" ht="10.5" customHeight="1">
      <c r="A64" s="160"/>
      <c r="B64" s="114"/>
      <c r="C64" s="114"/>
      <c r="D64" s="114"/>
      <c r="E64" s="114"/>
      <c r="F64" s="114"/>
      <c r="G64" s="114"/>
      <c r="H64" s="155"/>
      <c r="I64" s="155"/>
      <c r="J64" s="276"/>
      <c r="K64" s="4"/>
      <c r="L64" s="4"/>
      <c r="M64" s="4"/>
      <c r="N64" s="4"/>
      <c r="O64" s="4"/>
      <c r="P64" s="4"/>
      <c r="Q64" s="4"/>
      <c r="R64" s="4"/>
      <c r="S64" s="226"/>
    </row>
    <row r="65" spans="2:19" customFormat="1" ht="17.25" customHeight="1">
      <c r="B65" s="114"/>
      <c r="C65" s="114"/>
      <c r="D65" s="114"/>
      <c r="E65" s="115" t="s">
        <v>0</v>
      </c>
      <c r="F65" s="114"/>
      <c r="G65" s="114"/>
      <c r="H65" s="113"/>
      <c r="I65" s="113"/>
      <c r="J65" s="8"/>
      <c r="K65" s="1"/>
      <c r="S65" s="126"/>
    </row>
    <row r="66" spans="2:19" customFormat="1" ht="12.75" customHeight="1">
      <c r="B66" s="825" t="s">
        <v>271</v>
      </c>
      <c r="C66" s="825"/>
      <c r="D66" s="825"/>
      <c r="E66" s="825"/>
      <c r="F66" s="825"/>
      <c r="G66" s="825"/>
      <c r="H66" s="825"/>
      <c r="I66" s="825"/>
      <c r="J66" s="825"/>
      <c r="K66" s="825"/>
      <c r="L66" s="825"/>
      <c r="M66" s="825"/>
      <c r="N66" s="825"/>
      <c r="O66" s="825"/>
      <c r="P66" s="825"/>
      <c r="Q66" s="825"/>
      <c r="R66" s="825"/>
      <c r="S66" s="825"/>
    </row>
    <row r="67" spans="2:19" customFormat="1" ht="12.75" customHeight="1">
      <c r="B67" s="828" t="s">
        <v>335</v>
      </c>
      <c r="C67" s="828"/>
      <c r="D67" s="828"/>
      <c r="E67" s="828"/>
      <c r="F67" s="828"/>
      <c r="G67" s="828"/>
      <c r="H67" s="828"/>
      <c r="I67" s="828"/>
      <c r="J67" s="828"/>
      <c r="K67" s="828"/>
      <c r="L67" s="828"/>
      <c r="M67" s="828"/>
      <c r="N67" s="828"/>
      <c r="O67" s="828"/>
      <c r="P67" s="828"/>
      <c r="Q67" s="828"/>
      <c r="R67" s="828"/>
      <c r="S67" s="828"/>
    </row>
    <row r="68" spans="2:19" customFormat="1" ht="12.75" customHeight="1">
      <c r="B68" s="825" t="s">
        <v>232</v>
      </c>
      <c r="C68" s="825"/>
      <c r="D68" s="825"/>
      <c r="E68" s="825"/>
      <c r="F68" s="825"/>
      <c r="G68" s="825"/>
      <c r="H68" s="825"/>
      <c r="I68" s="825"/>
      <c r="J68" s="825"/>
      <c r="K68" s="825"/>
      <c r="L68" s="825"/>
      <c r="M68" s="825"/>
      <c r="N68" s="825"/>
      <c r="O68" s="825"/>
      <c r="P68" s="825"/>
      <c r="Q68" s="825"/>
      <c r="R68" s="825"/>
      <c r="S68" s="825"/>
    </row>
    <row r="69" spans="2:19" customFormat="1">
      <c r="B69" s="278" t="s">
        <v>337</v>
      </c>
      <c r="G69" s="1"/>
      <c r="S69" s="126"/>
    </row>
  </sheetData>
  <mergeCells count="70">
    <mergeCell ref="G1:S2"/>
    <mergeCell ref="B5:F5"/>
    <mergeCell ref="A1:F2"/>
    <mergeCell ref="B9:F9"/>
    <mergeCell ref="B8:F8"/>
    <mergeCell ref="R4:R5"/>
    <mergeCell ref="K4:K5"/>
    <mergeCell ref="L4:L5"/>
    <mergeCell ref="B4:F4"/>
    <mergeCell ref="G4:G5"/>
    <mergeCell ref="B16:F16"/>
    <mergeCell ref="B6:F6"/>
    <mergeCell ref="Q4:Q5"/>
    <mergeCell ref="O4:O5"/>
    <mergeCell ref="B13:E13"/>
    <mergeCell ref="B7:F7"/>
    <mergeCell ref="B68:S68"/>
    <mergeCell ref="M4:M5"/>
    <mergeCell ref="N4:N5"/>
    <mergeCell ref="P4:P5"/>
    <mergeCell ref="I4:I5"/>
    <mergeCell ref="B61:F61"/>
    <mergeCell ref="B67:S67"/>
    <mergeCell ref="B43:F43"/>
    <mergeCell ref="S4:S5"/>
    <mergeCell ref="J4:J5"/>
    <mergeCell ref="B66:S66"/>
    <mergeCell ref="B62:F62"/>
    <mergeCell ref="B56:F56"/>
    <mergeCell ref="B50:F50"/>
    <mergeCell ref="B57:F57"/>
    <mergeCell ref="B58:F58"/>
    <mergeCell ref="B59:F59"/>
    <mergeCell ref="B60:F60"/>
    <mergeCell ref="B48:F48"/>
    <mergeCell ref="B55:F55"/>
    <mergeCell ref="B53:F53"/>
    <mergeCell ref="B54:F54"/>
    <mergeCell ref="B49:F49"/>
    <mergeCell ref="B51:F51"/>
    <mergeCell ref="B52:F52"/>
    <mergeCell ref="B47:F47"/>
    <mergeCell ref="B46:F46"/>
    <mergeCell ref="B40:F40"/>
    <mergeCell ref="B45:F45"/>
    <mergeCell ref="B34:F34"/>
    <mergeCell ref="B35:F35"/>
    <mergeCell ref="B36:F36"/>
    <mergeCell ref="B37:F37"/>
    <mergeCell ref="B42:F42"/>
    <mergeCell ref="B44:F44"/>
    <mergeCell ref="B41:F41"/>
    <mergeCell ref="B38:F38"/>
    <mergeCell ref="B39:F39"/>
    <mergeCell ref="B33:F33"/>
    <mergeCell ref="B24:F24"/>
    <mergeCell ref="B12:F12"/>
    <mergeCell ref="B27:F27"/>
    <mergeCell ref="B29:F29"/>
    <mergeCell ref="B30:F30"/>
    <mergeCell ref="B32:F32"/>
    <mergeCell ref="B17:F17"/>
    <mergeCell ref="B21:F21"/>
    <mergeCell ref="B18:F18"/>
    <mergeCell ref="B19:F19"/>
    <mergeCell ref="B20:F20"/>
    <mergeCell ref="B22:F22"/>
    <mergeCell ref="B31:F31"/>
    <mergeCell ref="B26:F26"/>
    <mergeCell ref="B15:F15"/>
  </mergeCells>
  <phoneticPr fontId="15" type="noConversion"/>
  <printOptions horizontalCentered="1"/>
  <pageMargins left="0.39370078740157483" right="0.39370078740157483" top="0.78740157480314965" bottom="0.39370078740157483" header="0.51181102362204722" footer="0.59055118110236227"/>
  <pageSetup paperSize="9" scale="77" orientation="landscape"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7</vt:i4>
      </vt:variant>
      <vt:variant>
        <vt:lpstr>Intervalos nomeados</vt:lpstr>
      </vt:variant>
      <vt:variant>
        <vt:i4>1</vt:i4>
      </vt:variant>
    </vt:vector>
  </HeadingPairs>
  <TitlesOfParts>
    <vt:vector size="8" baseType="lpstr">
      <vt:lpstr>TabelaMatriz</vt:lpstr>
      <vt:lpstr>RCPJ</vt:lpstr>
      <vt:lpstr>R G I</vt:lpstr>
      <vt:lpstr>Notas</vt:lpstr>
      <vt:lpstr>Notas-AtoAdicional</vt:lpstr>
      <vt:lpstr>PROTESTO</vt:lpstr>
      <vt:lpstr>RTD</vt:lpstr>
      <vt:lpstr>RCPJ!Area_de_impressao</vt:lpstr>
    </vt:vector>
  </TitlesOfParts>
  <Company>Particular</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Valdir G Silva</dc:creator>
  <cp:lastModifiedBy>Cartorio</cp:lastModifiedBy>
  <cp:lastPrinted>2018-01-17T15:02:26Z</cp:lastPrinted>
  <dcterms:created xsi:type="dcterms:W3CDTF">2002-01-11T18:52:39Z</dcterms:created>
  <dcterms:modified xsi:type="dcterms:W3CDTF">2018-03-23T19:14:58Z</dcterms:modified>
</cp:coreProperties>
</file>